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2017-02-23\"/>
    </mc:Choice>
  </mc:AlternateContent>
  <xr:revisionPtr revIDLastSave="0" documentId="8_{4B9724B2-BE94-45B7-81F4-4CAC6E471016}" xr6:coauthVersionLast="38" xr6:coauthVersionMax="38" xr10:uidLastSave="{00000000-0000-0000-0000-000000000000}"/>
  <bookViews>
    <workbookView xWindow="0" yWindow="0" windowWidth="28800" windowHeight="12225" tabRatio="604" activeTab="1" xr2:uid="{00000000-000D-0000-FFFF-FFFF00000000}"/>
  </bookViews>
  <sheets>
    <sheet name="2 priedas" sheetId="1" r:id="rId1"/>
    <sheet name="2.1 priedas" sheetId="2" r:id="rId2"/>
    <sheet name="2.2 priedas" sheetId="4" r:id="rId3"/>
  </sheets>
  <calcPr calcId="181029"/>
</workbook>
</file>

<file path=xl/calcChain.xml><?xml version="1.0" encoding="utf-8"?>
<calcChain xmlns="http://schemas.openxmlformats.org/spreadsheetml/2006/main">
  <c r="C31" i="1" l="1"/>
  <c r="B31" i="1"/>
  <c r="C18" i="1"/>
  <c r="C11" i="1" l="1"/>
  <c r="D11" i="1"/>
  <c r="T10" i="1" l="1"/>
  <c r="S10" i="1"/>
  <c r="X11" i="1"/>
  <c r="W11" i="1"/>
  <c r="V11" i="1"/>
  <c r="X13" i="1"/>
  <c r="K10" i="1" l="1"/>
  <c r="J10" i="1"/>
  <c r="L11" i="1"/>
  <c r="N13" i="1"/>
  <c r="W13" i="1" s="1"/>
  <c r="M13" i="1"/>
  <c r="C33" i="2" l="1"/>
  <c r="B33" i="2"/>
  <c r="C32" i="2"/>
  <c r="B32" i="2"/>
  <c r="C30" i="2"/>
  <c r="B30" i="2"/>
  <c r="C29" i="2"/>
  <c r="B29" i="2"/>
  <c r="C28" i="2"/>
  <c r="B28" i="2"/>
  <c r="C26" i="2"/>
  <c r="B26" i="2"/>
  <c r="C25" i="2"/>
  <c r="B25" i="2"/>
  <c r="C24" i="2"/>
  <c r="B24" i="2"/>
  <c r="C21" i="2"/>
  <c r="B21" i="2"/>
  <c r="C20" i="2"/>
  <c r="B20" i="2"/>
  <c r="C19" i="2"/>
  <c r="B19" i="2"/>
  <c r="C18" i="2"/>
  <c r="B18" i="2"/>
  <c r="C17" i="2"/>
  <c r="B17" i="2"/>
  <c r="C16" i="2"/>
  <c r="B16" i="2"/>
  <c r="C13" i="2"/>
  <c r="B13" i="2"/>
  <c r="C12" i="2"/>
  <c r="B12" i="2"/>
  <c r="C11" i="2"/>
  <c r="B11" i="2"/>
  <c r="C10" i="2"/>
  <c r="B10" i="2"/>
  <c r="L13" i="1" l="1"/>
  <c r="N70" i="2" l="1"/>
  <c r="M70" i="2"/>
  <c r="S37" i="2" l="1"/>
  <c r="R37" i="2"/>
  <c r="Q37" i="2"/>
  <c r="P37" i="2"/>
  <c r="L37" i="2"/>
  <c r="E37" i="2"/>
  <c r="T37" i="2" l="1"/>
  <c r="H22" i="2" l="1"/>
  <c r="H23" i="2"/>
  <c r="W38" i="1" l="1"/>
  <c r="X35" i="1"/>
  <c r="W35" i="1"/>
  <c r="V35" i="1"/>
  <c r="E35" i="1"/>
  <c r="B35" i="4"/>
  <c r="Y35" i="1" l="1"/>
  <c r="X25" i="1"/>
  <c r="W25" i="1"/>
  <c r="V25" i="1"/>
  <c r="Y25" i="1" l="1"/>
  <c r="Q10" i="1"/>
  <c r="R10" i="1"/>
  <c r="H10" i="1"/>
  <c r="G10" i="1"/>
  <c r="F10" i="1"/>
  <c r="I11" i="1"/>
  <c r="U11" i="1" l="1"/>
  <c r="U10" i="1"/>
  <c r="Y11" i="1"/>
  <c r="I10" i="1"/>
  <c r="B10" i="1" l="1"/>
  <c r="B36" i="1" s="1"/>
  <c r="B37" i="1" s="1"/>
  <c r="B40" i="1" s="1"/>
  <c r="C10" i="1"/>
  <c r="D10" i="1"/>
  <c r="X10" i="1" s="1"/>
  <c r="E25" i="1"/>
  <c r="E11" i="1"/>
  <c r="R61" i="2"/>
  <c r="E66" i="2"/>
  <c r="E65" i="2"/>
  <c r="E56" i="2"/>
  <c r="R52" i="2"/>
  <c r="E48" i="2"/>
  <c r="R44" i="2"/>
  <c r="R41" i="2"/>
  <c r="R40" i="2"/>
  <c r="E12" i="2"/>
  <c r="E30" i="2"/>
  <c r="R27" i="2"/>
  <c r="R20" i="2"/>
  <c r="R19" i="2"/>
  <c r="E13" i="2"/>
  <c r="E15" i="2"/>
  <c r="U27" i="1"/>
  <c r="X26" i="1"/>
  <c r="W26" i="1"/>
  <c r="V26" i="1"/>
  <c r="E26" i="1"/>
  <c r="X24" i="1"/>
  <c r="W24" i="1"/>
  <c r="V24" i="1"/>
  <c r="U24" i="1"/>
  <c r="P24" i="1"/>
  <c r="I24" i="1"/>
  <c r="E24" i="1"/>
  <c r="X23" i="1"/>
  <c r="W23" i="1"/>
  <c r="V23" i="1"/>
  <c r="U23" i="1"/>
  <c r="P23" i="1"/>
  <c r="I23" i="1"/>
  <c r="E23" i="1"/>
  <c r="X34" i="1"/>
  <c r="W34" i="1"/>
  <c r="V34" i="1"/>
  <c r="U34" i="1"/>
  <c r="P34" i="1"/>
  <c r="I34" i="1"/>
  <c r="E34" i="1"/>
  <c r="X22" i="1"/>
  <c r="W22" i="1"/>
  <c r="V22" i="1"/>
  <c r="U22" i="1"/>
  <c r="I22" i="1"/>
  <c r="E22" i="1"/>
  <c r="K36" i="1"/>
  <c r="K37" i="1" s="1"/>
  <c r="K40" i="1" s="1"/>
  <c r="J36" i="1"/>
  <c r="J37" i="1" s="1"/>
  <c r="J40" i="1" s="1"/>
  <c r="R15" i="2"/>
  <c r="Q15" i="2"/>
  <c r="X14" i="1"/>
  <c r="U38" i="1"/>
  <c r="X38" i="1"/>
  <c r="Y38" i="1" s="1"/>
  <c r="V38" i="1"/>
  <c r="E38" i="1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10" i="2"/>
  <c r="Q36" i="1"/>
  <c r="Q37" i="1" s="1"/>
  <c r="Q40" i="1" s="1"/>
  <c r="S36" i="1"/>
  <c r="S37" i="1" s="1"/>
  <c r="S40" i="1" s="1"/>
  <c r="N10" i="1"/>
  <c r="F36" i="1"/>
  <c r="F37" i="1" s="1"/>
  <c r="F40" i="1" s="1"/>
  <c r="G36" i="1"/>
  <c r="G37" i="1" s="1"/>
  <c r="G40" i="1" s="1"/>
  <c r="I18" i="1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10" i="4"/>
  <c r="P15" i="2"/>
  <c r="L15" i="2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10" i="4"/>
  <c r="Q61" i="2"/>
  <c r="P61" i="2"/>
  <c r="L61" i="2"/>
  <c r="M10" i="1"/>
  <c r="X21" i="1"/>
  <c r="W21" i="1"/>
  <c r="V21" i="1"/>
  <c r="X20" i="1"/>
  <c r="W20" i="1"/>
  <c r="V20" i="1"/>
  <c r="I13" i="1"/>
  <c r="X39" i="1"/>
  <c r="W39" i="1"/>
  <c r="V39" i="1"/>
  <c r="E39" i="1"/>
  <c r="X27" i="1"/>
  <c r="X15" i="1"/>
  <c r="X33" i="1"/>
  <c r="X32" i="1"/>
  <c r="X31" i="1"/>
  <c r="X30" i="1"/>
  <c r="X29" i="1"/>
  <c r="X28" i="1"/>
  <c r="X19" i="1"/>
  <c r="X18" i="1"/>
  <c r="X17" i="1"/>
  <c r="X16" i="1"/>
  <c r="X12" i="1"/>
  <c r="O10" i="1"/>
  <c r="O36" i="1" s="1"/>
  <c r="O37" i="1" s="1"/>
  <c r="O40" i="1" s="1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E21" i="1"/>
  <c r="E20" i="1"/>
  <c r="F10" i="4"/>
  <c r="V27" i="1"/>
  <c r="W27" i="1"/>
  <c r="E16" i="1"/>
  <c r="U32" i="1"/>
  <c r="I19" i="1"/>
  <c r="I17" i="1"/>
  <c r="L17" i="1"/>
  <c r="L19" i="1"/>
  <c r="W16" i="1"/>
  <c r="V16" i="1"/>
  <c r="U16" i="1"/>
  <c r="V19" i="1"/>
  <c r="W19" i="1"/>
  <c r="V18" i="1"/>
  <c r="W18" i="1"/>
  <c r="V17" i="1"/>
  <c r="W17" i="1"/>
  <c r="E19" i="1"/>
  <c r="E18" i="1"/>
  <c r="E17" i="1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E25" i="2"/>
  <c r="E24" i="2"/>
  <c r="E27" i="1"/>
  <c r="I27" i="1"/>
  <c r="I31" i="1"/>
  <c r="I29" i="1"/>
  <c r="P27" i="1"/>
  <c r="P28" i="1"/>
  <c r="V28" i="1"/>
  <c r="V31" i="1"/>
  <c r="V29" i="1"/>
  <c r="W28" i="1"/>
  <c r="W31" i="1"/>
  <c r="W29" i="1"/>
  <c r="E28" i="1"/>
  <c r="E29" i="1"/>
  <c r="E30" i="1"/>
  <c r="E31" i="1"/>
  <c r="E33" i="1"/>
  <c r="E32" i="1"/>
  <c r="I33" i="1"/>
  <c r="I32" i="1"/>
  <c r="I30" i="1"/>
  <c r="I28" i="1"/>
  <c r="L31" i="1"/>
  <c r="L30" i="1"/>
  <c r="L29" i="1"/>
  <c r="L27" i="1"/>
  <c r="L10" i="1"/>
  <c r="P33" i="1"/>
  <c r="P31" i="1"/>
  <c r="P29" i="1"/>
  <c r="U29" i="1"/>
  <c r="U31" i="1"/>
  <c r="U33" i="1"/>
  <c r="U28" i="1"/>
  <c r="U30" i="1"/>
  <c r="V30" i="1"/>
  <c r="V33" i="1"/>
  <c r="V32" i="1"/>
  <c r="W30" i="1"/>
  <c r="W33" i="1"/>
  <c r="W32" i="1"/>
  <c r="K12" i="4"/>
  <c r="K13" i="4"/>
  <c r="K14" i="4"/>
  <c r="K15" i="4"/>
  <c r="K16" i="4"/>
  <c r="K17" i="4"/>
  <c r="K18" i="4"/>
  <c r="K19" i="4"/>
  <c r="N19" i="4" s="1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11" i="4"/>
  <c r="K10" i="4"/>
  <c r="P25" i="2"/>
  <c r="P24" i="2"/>
  <c r="P10" i="2"/>
  <c r="P11" i="2"/>
  <c r="P12" i="2"/>
  <c r="P13" i="2"/>
  <c r="P14" i="2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2" i="2"/>
  <c r="P63" i="2"/>
  <c r="P64" i="2"/>
  <c r="P65" i="2"/>
  <c r="P66" i="2"/>
  <c r="P67" i="2"/>
  <c r="P68" i="2"/>
  <c r="P69" i="2"/>
  <c r="O70" i="2"/>
  <c r="L38" i="2"/>
  <c r="L18" i="2"/>
  <c r="W12" i="1"/>
  <c r="W14" i="1"/>
  <c r="W15" i="1"/>
  <c r="V12" i="1"/>
  <c r="V13" i="1"/>
  <c r="V14" i="1"/>
  <c r="V15" i="1"/>
  <c r="I15" i="1"/>
  <c r="U15" i="1"/>
  <c r="P15" i="1"/>
  <c r="K70" i="2"/>
  <c r="L35" i="2"/>
  <c r="L36" i="2"/>
  <c r="L39" i="2"/>
  <c r="L11" i="2"/>
  <c r="L12" i="2"/>
  <c r="L13" i="2"/>
  <c r="L14" i="2"/>
  <c r="L16" i="2"/>
  <c r="L17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10" i="2"/>
  <c r="E15" i="1"/>
  <c r="R36" i="2"/>
  <c r="R38" i="2"/>
  <c r="R39" i="2"/>
  <c r="Q36" i="2"/>
  <c r="Q38" i="2"/>
  <c r="Q39" i="2"/>
  <c r="E38" i="2"/>
  <c r="P14" i="1"/>
  <c r="I14" i="1"/>
  <c r="U14" i="1"/>
  <c r="E14" i="1"/>
  <c r="H35" i="4"/>
  <c r="G35" i="4"/>
  <c r="E35" i="4"/>
  <c r="D35" i="4"/>
  <c r="C35" i="4"/>
  <c r="K35" i="4" s="1"/>
  <c r="J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R25" i="2"/>
  <c r="Q25" i="2"/>
  <c r="R24" i="2"/>
  <c r="Q24" i="2"/>
  <c r="I12" i="1"/>
  <c r="E69" i="2"/>
  <c r="E68" i="2"/>
  <c r="E67" i="2"/>
  <c r="E64" i="2"/>
  <c r="E63" i="2"/>
  <c r="R43" i="2"/>
  <c r="Q43" i="2"/>
  <c r="E43" i="2"/>
  <c r="E35" i="2"/>
  <c r="E36" i="2"/>
  <c r="E39" i="2"/>
  <c r="R35" i="2"/>
  <c r="Q35" i="2"/>
  <c r="R63" i="2"/>
  <c r="R64" i="2"/>
  <c r="R65" i="2"/>
  <c r="R66" i="2"/>
  <c r="R67" i="2"/>
  <c r="R68" i="2"/>
  <c r="R69" i="2"/>
  <c r="Q63" i="2"/>
  <c r="Q64" i="2"/>
  <c r="Q65" i="2"/>
  <c r="Q66" i="2"/>
  <c r="Q67" i="2"/>
  <c r="Q68" i="2"/>
  <c r="Q69" i="2"/>
  <c r="D70" i="2"/>
  <c r="F70" i="2"/>
  <c r="G70" i="2"/>
  <c r="I70" i="2"/>
  <c r="J70" i="2"/>
  <c r="B70" i="2"/>
  <c r="R26" i="2"/>
  <c r="R28" i="2"/>
  <c r="R29" i="2"/>
  <c r="R30" i="2"/>
  <c r="R31" i="2"/>
  <c r="R32" i="2"/>
  <c r="R33" i="2"/>
  <c r="R34" i="2"/>
  <c r="Q41" i="2"/>
  <c r="R42" i="2"/>
  <c r="Q44" i="2"/>
  <c r="R45" i="2"/>
  <c r="R46" i="2"/>
  <c r="R47" i="2"/>
  <c r="R49" i="2"/>
  <c r="R50" i="2"/>
  <c r="R51" i="2"/>
  <c r="Q51" i="2"/>
  <c r="R53" i="2"/>
  <c r="R54" i="2"/>
  <c r="R55" i="2"/>
  <c r="R57" i="2"/>
  <c r="R58" i="2"/>
  <c r="R59" i="2"/>
  <c r="R60" i="2"/>
  <c r="R62" i="2"/>
  <c r="Q26" i="2"/>
  <c r="Q27" i="2"/>
  <c r="Q28" i="2"/>
  <c r="Q29" i="2"/>
  <c r="Q30" i="2"/>
  <c r="Q31" i="2"/>
  <c r="Q32" i="2"/>
  <c r="Q33" i="2"/>
  <c r="Q34" i="2"/>
  <c r="Q40" i="2"/>
  <c r="Q42" i="2"/>
  <c r="Q45" i="2"/>
  <c r="Q46" i="2"/>
  <c r="Q47" i="2"/>
  <c r="Q48" i="2"/>
  <c r="Q49" i="2"/>
  <c r="Q50" i="2"/>
  <c r="Q52" i="2"/>
  <c r="Q53" i="2"/>
  <c r="Q54" i="2"/>
  <c r="Q55" i="2"/>
  <c r="Q56" i="2"/>
  <c r="Q57" i="2"/>
  <c r="Q58" i="2"/>
  <c r="Q59" i="2"/>
  <c r="Q60" i="2"/>
  <c r="Q62" i="2"/>
  <c r="E62" i="2"/>
  <c r="E26" i="2"/>
  <c r="E28" i="2"/>
  <c r="E29" i="2"/>
  <c r="E31" i="2"/>
  <c r="E32" i="2"/>
  <c r="E33" i="2"/>
  <c r="E34" i="2"/>
  <c r="E40" i="2"/>
  <c r="E41" i="2"/>
  <c r="E42" i="2"/>
  <c r="E45" i="2"/>
  <c r="E46" i="2"/>
  <c r="E47" i="2"/>
  <c r="E49" i="2"/>
  <c r="E50" i="2"/>
  <c r="E51" i="2"/>
  <c r="E53" i="2"/>
  <c r="E54" i="2"/>
  <c r="E55" i="2"/>
  <c r="E57" i="2"/>
  <c r="E58" i="2"/>
  <c r="E59" i="2"/>
  <c r="E60" i="2"/>
  <c r="Q10" i="2"/>
  <c r="R10" i="2"/>
  <c r="Q11" i="2"/>
  <c r="Q12" i="2"/>
  <c r="R12" i="2"/>
  <c r="Q13" i="2"/>
  <c r="Q14" i="2"/>
  <c r="R14" i="2"/>
  <c r="Q16" i="2"/>
  <c r="Q17" i="2"/>
  <c r="Q18" i="2"/>
  <c r="Q19" i="2"/>
  <c r="Q20" i="2"/>
  <c r="Q21" i="2"/>
  <c r="R21" i="2"/>
  <c r="Q22" i="2"/>
  <c r="Q23" i="2"/>
  <c r="R11" i="2"/>
  <c r="R16" i="2"/>
  <c r="R17" i="2"/>
  <c r="R18" i="2"/>
  <c r="R22" i="2"/>
  <c r="R23" i="2"/>
  <c r="U13" i="1"/>
  <c r="P13" i="1"/>
  <c r="E13" i="1"/>
  <c r="E23" i="2"/>
  <c r="E22" i="2"/>
  <c r="E21" i="2"/>
  <c r="E20" i="2"/>
  <c r="E19" i="2"/>
  <c r="E18" i="2"/>
  <c r="E17" i="2"/>
  <c r="E16" i="2"/>
  <c r="E14" i="2"/>
  <c r="E11" i="2"/>
  <c r="E10" i="2"/>
  <c r="U12" i="1"/>
  <c r="P12" i="1"/>
  <c r="E12" i="1"/>
  <c r="N24" i="4" l="1"/>
  <c r="M36" i="1"/>
  <c r="M37" i="1" s="1"/>
  <c r="M40" i="1" s="1"/>
  <c r="V10" i="1"/>
  <c r="N15" i="4"/>
  <c r="X36" i="1"/>
  <c r="D36" i="1"/>
  <c r="D37" i="1" s="1"/>
  <c r="D40" i="1" s="1"/>
  <c r="C36" i="1"/>
  <c r="C37" i="1" s="1"/>
  <c r="C40" i="1" s="1"/>
  <c r="W10" i="1"/>
  <c r="Y10" i="1" s="1"/>
  <c r="T57" i="2"/>
  <c r="T54" i="2"/>
  <c r="T35" i="2"/>
  <c r="T47" i="2"/>
  <c r="I35" i="4"/>
  <c r="N23" i="4"/>
  <c r="N32" i="4"/>
  <c r="N31" i="4"/>
  <c r="N27" i="4"/>
  <c r="N20" i="4"/>
  <c r="N16" i="4"/>
  <c r="N28" i="4"/>
  <c r="Y14" i="1"/>
  <c r="Y13" i="1"/>
  <c r="Y30" i="1"/>
  <c r="Y27" i="1"/>
  <c r="Y16" i="1"/>
  <c r="N17" i="4"/>
  <c r="N25" i="4"/>
  <c r="N33" i="4"/>
  <c r="N11" i="4"/>
  <c r="N14" i="4"/>
  <c r="N18" i="4"/>
  <c r="N22" i="4"/>
  <c r="N26" i="4"/>
  <c r="N30" i="4"/>
  <c r="N34" i="4"/>
  <c r="M35" i="4"/>
  <c r="N13" i="4"/>
  <c r="N21" i="4"/>
  <c r="N29" i="4"/>
  <c r="T11" i="2"/>
  <c r="T25" i="2"/>
  <c r="T53" i="2"/>
  <c r="T39" i="2"/>
  <c r="T31" i="2"/>
  <c r="T64" i="2"/>
  <c r="T60" i="2"/>
  <c r="T38" i="2"/>
  <c r="T44" i="2"/>
  <c r="T42" i="2"/>
  <c r="T30" i="2"/>
  <c r="T27" i="2"/>
  <c r="T20" i="2"/>
  <c r="N10" i="4"/>
  <c r="E52" i="2"/>
  <c r="E44" i="2"/>
  <c r="E27" i="2"/>
  <c r="T40" i="2"/>
  <c r="R56" i="2"/>
  <c r="T56" i="2" s="1"/>
  <c r="Y28" i="1"/>
  <c r="E61" i="2"/>
  <c r="R48" i="2"/>
  <c r="T48" i="2" s="1"/>
  <c r="N12" i="4"/>
  <c r="T33" i="2"/>
  <c r="Y33" i="1"/>
  <c r="Y18" i="1"/>
  <c r="H70" i="2"/>
  <c r="C70" i="2"/>
  <c r="X37" i="1"/>
  <c r="X40" i="1" s="1"/>
  <c r="Y12" i="1"/>
  <c r="Y39" i="1"/>
  <c r="Y23" i="1"/>
  <c r="Y24" i="1"/>
  <c r="V36" i="1"/>
  <c r="V37" i="1" s="1"/>
  <c r="V40" i="1" s="1"/>
  <c r="E10" i="1"/>
  <c r="E36" i="1" s="1"/>
  <c r="E37" i="1" s="1"/>
  <c r="E40" i="1" s="1"/>
  <c r="L36" i="1"/>
  <c r="L37" i="1" s="1"/>
  <c r="L40" i="1" s="1"/>
  <c r="Y31" i="1"/>
  <c r="Y22" i="1"/>
  <c r="U36" i="1"/>
  <c r="U37" i="1" s="1"/>
  <c r="U40" i="1" s="1"/>
  <c r="Y15" i="1"/>
  <c r="I36" i="1"/>
  <c r="I37" i="1" s="1"/>
  <c r="I40" i="1" s="1"/>
  <c r="Y19" i="1"/>
  <c r="Y32" i="1"/>
  <c r="Y34" i="1"/>
  <c r="Y26" i="1"/>
  <c r="Y17" i="1"/>
  <c r="Y20" i="1"/>
  <c r="T50" i="2"/>
  <c r="T46" i="2"/>
  <c r="T43" i="2"/>
  <c r="T34" i="2"/>
  <c r="T23" i="2"/>
  <c r="L70" i="2"/>
  <c r="T19" i="2"/>
  <c r="L35" i="4"/>
  <c r="F35" i="4"/>
  <c r="T61" i="2"/>
  <c r="T68" i="2"/>
  <c r="T66" i="2"/>
  <c r="T51" i="2"/>
  <c r="T49" i="2"/>
  <c r="T28" i="2"/>
  <c r="T26" i="2"/>
  <c r="T18" i="2"/>
  <c r="T17" i="2"/>
  <c r="T16" i="2"/>
  <c r="T14" i="2"/>
  <c r="R13" i="2"/>
  <c r="T13" i="2" s="1"/>
  <c r="T12" i="2"/>
  <c r="T63" i="2"/>
  <c r="T62" i="2"/>
  <c r="T55" i="2"/>
  <c r="T41" i="2"/>
  <c r="T32" i="2"/>
  <c r="T24" i="2"/>
  <c r="T21" i="2"/>
  <c r="P70" i="2"/>
  <c r="T59" i="2"/>
  <c r="T52" i="2"/>
  <c r="T67" i="2"/>
  <c r="T65" i="2"/>
  <c r="T15" i="2"/>
  <c r="T58" i="2"/>
  <c r="T45" i="2"/>
  <c r="T29" i="2"/>
  <c r="T69" i="2"/>
  <c r="T36" i="2"/>
  <c r="S70" i="2"/>
  <c r="T22" i="2"/>
  <c r="Q70" i="2"/>
  <c r="T10" i="2"/>
  <c r="N36" i="1"/>
  <c r="N37" i="1" s="1"/>
  <c r="N40" i="1" s="1"/>
  <c r="P10" i="1"/>
  <c r="P36" i="1" s="1"/>
  <c r="P37" i="1" s="1"/>
  <c r="P40" i="1" s="1"/>
  <c r="Y29" i="1"/>
  <c r="Y21" i="1"/>
  <c r="H36" i="1"/>
  <c r="H37" i="1" s="1"/>
  <c r="H40" i="1" s="1"/>
  <c r="R36" i="1"/>
  <c r="R37" i="1" s="1"/>
  <c r="R40" i="1" s="1"/>
  <c r="T36" i="1"/>
  <c r="T37" i="1" s="1"/>
  <c r="T40" i="1" s="1"/>
  <c r="N35" i="4" l="1"/>
  <c r="E70" i="2"/>
  <c r="Y36" i="1"/>
  <c r="Y37" i="1" s="1"/>
  <c r="Y40" i="1" s="1"/>
  <c r="W36" i="1"/>
  <c r="W37" i="1" s="1"/>
  <c r="W40" i="1" s="1"/>
  <c r="R70" i="2"/>
  <c r="T70" i="2"/>
</calcChain>
</file>

<file path=xl/sharedStrings.xml><?xml version="1.0" encoding="utf-8"?>
<sst xmlns="http://schemas.openxmlformats.org/spreadsheetml/2006/main" count="207" uniqueCount="143">
  <si>
    <t>Asignavimų valdytojų grupės</t>
  </si>
  <si>
    <t>Darbo užmokestis</t>
  </si>
  <si>
    <t xml:space="preserve">Sandoriai </t>
  </si>
  <si>
    <t>Iš viso</t>
  </si>
  <si>
    <t>Savivaldybės biudžeto lėšos</t>
  </si>
  <si>
    <t>Moksleivio krepšelio lėšos</t>
  </si>
  <si>
    <t>Sandoriai</t>
  </si>
  <si>
    <t>Paprastosios išlaidos</t>
  </si>
  <si>
    <t>Asignavimų valdytojai</t>
  </si>
  <si>
    <t>Akademijos Ugnės Karvelis gimnazija</t>
  </si>
  <si>
    <t>Babtų gimnazija</t>
  </si>
  <si>
    <t>Domeikavos gimnazija</t>
  </si>
  <si>
    <t>Garliavos J. Lukšos gimnazija</t>
  </si>
  <si>
    <t>Raudondvario gimnazija</t>
  </si>
  <si>
    <t xml:space="preserve">Kauno rajono savivaldybės tarybos </t>
  </si>
  <si>
    <t>Akademijos seniūnija</t>
  </si>
  <si>
    <t>Alšėnų seniūnija</t>
  </si>
  <si>
    <t>Babtų seniūnija</t>
  </si>
  <si>
    <t>Čekiškės seniūnija</t>
  </si>
  <si>
    <t>Domeikavos seniūnija</t>
  </si>
  <si>
    <t>Ežerėlio seniūnija</t>
  </si>
  <si>
    <t>Garliavos apylinkių seniūnija</t>
  </si>
  <si>
    <t>Garliavos seniūnija</t>
  </si>
  <si>
    <t>Kačerginės seniūnija</t>
  </si>
  <si>
    <t>Karmėlavos seniūnija</t>
  </si>
  <si>
    <t>Kulautuvos seniūnija</t>
  </si>
  <si>
    <t>Lapių seniūnija</t>
  </si>
  <si>
    <t>Neveronių seniūnija</t>
  </si>
  <si>
    <t>Raudondvario seniūnija</t>
  </si>
  <si>
    <t>Ringaudų seniūnija</t>
  </si>
  <si>
    <t>Rokų seniūnija</t>
  </si>
  <si>
    <t>Samylų seniūnija</t>
  </si>
  <si>
    <t>Taurakiemio seniūnija</t>
  </si>
  <si>
    <t>Užliedžių seniūnija</t>
  </si>
  <si>
    <t>Vandžiogalos seniūnija</t>
  </si>
  <si>
    <t>Vilkijos apylinkių seniūnija</t>
  </si>
  <si>
    <t>Vilkijos seniūnija</t>
  </si>
  <si>
    <t>Zapyškio seniūnija</t>
  </si>
  <si>
    <t>2  priedas</t>
  </si>
  <si>
    <t>Specialiosios tikslinės dotacijos</t>
  </si>
  <si>
    <t>2.2 priedas</t>
  </si>
  <si>
    <t>Vilkijos gimnazija</t>
  </si>
  <si>
    <t>Linksmakalnio seniūnija</t>
  </si>
  <si>
    <t>2.1 priedas</t>
  </si>
  <si>
    <t>Batniavos seniūnija</t>
  </si>
  <si>
    <t>Biudžeto lėšos</t>
  </si>
  <si>
    <t>____________________________</t>
  </si>
  <si>
    <t>_________________</t>
  </si>
  <si>
    <t>Batniavos pagrindinė mokykla</t>
  </si>
  <si>
    <t>Kačerginės pagrindinė mokykla</t>
  </si>
  <si>
    <t>Lapių pagrindinė mokykla</t>
  </si>
  <si>
    <t>Panevėžiuko pagrindinė mokykla</t>
  </si>
  <si>
    <t>Šlienavos pagrindinė mokykla</t>
  </si>
  <si>
    <t>Zapyškio pagrindinė mokykla</t>
  </si>
  <si>
    <t>Ringaudų pradinė mokykla</t>
  </si>
  <si>
    <t>Ilgakiemio mokykla-darželis</t>
  </si>
  <si>
    <t>Linksmakalnio mokykla-darželis</t>
  </si>
  <si>
    <t>Ežerėlio kultūros centras</t>
  </si>
  <si>
    <t>Samylų kultūros centras</t>
  </si>
  <si>
    <t>Babtų kultūros centras</t>
  </si>
  <si>
    <t>Ramučių kultūros centras</t>
  </si>
  <si>
    <t>Vilkijos kultūros centras</t>
  </si>
  <si>
    <t>Raudondvario dvaras</t>
  </si>
  <si>
    <t>Socdr. mok.</t>
  </si>
  <si>
    <t>Garliavos meno mokykla</t>
  </si>
  <si>
    <t>Kulautuvos vaikų sanatorinė mokykla</t>
  </si>
  <si>
    <t>Biudžetinių įstaigų pajamos</t>
  </si>
  <si>
    <t xml:space="preserve">                 Merija</t>
  </si>
  <si>
    <t xml:space="preserve">         Švietimo skyrius (adm.)</t>
  </si>
  <si>
    <t>Kitos dotacijos</t>
  </si>
  <si>
    <t>VIP</t>
  </si>
  <si>
    <t>Dziudo ir jojimo sporto mokykla</t>
  </si>
  <si>
    <t>Kulautuvos lopšelis-darželis</t>
  </si>
  <si>
    <t>Neveronių lopšelis-darželis</t>
  </si>
  <si>
    <t>Vilkijos lopšelis-darželis "Daigelis"</t>
  </si>
  <si>
    <t>Zapyškio lopšelis-darželis</t>
  </si>
  <si>
    <t>Sporto mokykla</t>
  </si>
  <si>
    <t>Raudondvario kultūros centras</t>
  </si>
  <si>
    <t>Soc. dr. mok.</t>
  </si>
  <si>
    <t>Aplinkos skyrius</t>
  </si>
  <si>
    <t>Kelių ir transporto skyrius</t>
  </si>
  <si>
    <t>Socialinės paramos skyrius</t>
  </si>
  <si>
    <t>Seniūnijos</t>
  </si>
  <si>
    <t>Turizmo ir verslo informacijos centras</t>
  </si>
  <si>
    <t>Kauno rajono muziejus</t>
  </si>
  <si>
    <t>Priešgaisrinės saugos tarnyba</t>
  </si>
  <si>
    <t>Skolintos lėšos</t>
  </si>
  <si>
    <t>Iš viso su skolintom lėšom</t>
  </si>
  <si>
    <t>Seniūnijų pajamos</t>
  </si>
  <si>
    <t>Garliavos sporto ir kultūros centras</t>
  </si>
  <si>
    <t>Garliavos lopšelis-darželis "Eglutė"</t>
  </si>
  <si>
    <t>Garliavos lopšelis-darželis "Obelėlė"</t>
  </si>
  <si>
    <t>Ežerėlio lopšelis-darželis</t>
  </si>
  <si>
    <t>Domeikavos lopšelis-darželis</t>
  </si>
  <si>
    <t>Čekiškės  P. Dovydaičio gimnazija</t>
  </si>
  <si>
    <t>Neveronių gimnazija</t>
  </si>
  <si>
    <t>Vandžiogalos gimnazija</t>
  </si>
  <si>
    <t>Ežerėlio pagrindinė mokykla</t>
  </si>
  <si>
    <t>Garliavos A. Mitkaus pagrindinė mokykla</t>
  </si>
  <si>
    <t>Garliavos Jonučių progimnazija</t>
  </si>
  <si>
    <t>Kulautuvos pagrindinė mokykla</t>
  </si>
  <si>
    <t>Babtų lopšelis-darželis</t>
  </si>
  <si>
    <t>Karmėlavos lopšelis-darželis "Žilvitis"</t>
  </si>
  <si>
    <t>Raudondvario lopš.-darž. "Riešutėlis"</t>
  </si>
  <si>
    <t>Garliavos Jonučių gimnazija</t>
  </si>
  <si>
    <t>Kačerginės vaikų sanatorijos "Žibutė" mokykla</t>
  </si>
  <si>
    <t>Čekiškės darželis</t>
  </si>
  <si>
    <t>Eigirgalos lopšelis darželis</t>
  </si>
  <si>
    <t>Giraitės darželis</t>
  </si>
  <si>
    <t>Girionių darželis</t>
  </si>
  <si>
    <t>Vandžiogalos darželis</t>
  </si>
  <si>
    <t>Raudondvario Kriauzų mokykla-darželis</t>
  </si>
  <si>
    <t>Jonučių darželis</t>
  </si>
  <si>
    <t>Kačerginės daugiafunkcis centras</t>
  </si>
  <si>
    <t>Karmėlavos B. Buračo gimnazija</t>
  </si>
  <si>
    <t>Noreikiškių lopšelis-darželis "Ąžuolėlis"</t>
  </si>
  <si>
    <t>Lapių lopšelis-darželis</t>
  </si>
  <si>
    <t>Laisvas biudžeto lėšų likutis</t>
  </si>
  <si>
    <t xml:space="preserve">                 Kontrolės ir audito  tarnyba</t>
  </si>
  <si>
    <t>2. Kultūros, švietimo ir sporto skyrius, aptarnaujantis biudžetines įstaigas-asignavimų valdytojus</t>
  </si>
  <si>
    <t>3. Švietimo centras</t>
  </si>
  <si>
    <t>5. Pagynės vaikų globos namai</t>
  </si>
  <si>
    <t>6. Socialinių paslaugų centras</t>
  </si>
  <si>
    <t>7. Visuomenės sveikatos biuras</t>
  </si>
  <si>
    <t>8. Viešoji biblioteka</t>
  </si>
  <si>
    <t xml:space="preserve">   Kauno rajono gyvenamųjų patalpų remonto fondas</t>
  </si>
  <si>
    <t>Direktoriaus rezervas</t>
  </si>
  <si>
    <t xml:space="preserve">     Švietimo sk. programos</t>
  </si>
  <si>
    <t>4. Čekiškės socialinės globos ir priežiūros namai</t>
  </si>
  <si>
    <t>Daugiavaikių šeimų rėmimo fondas</t>
  </si>
  <si>
    <t>Piliuonos gimnazija</t>
  </si>
  <si>
    <t>1. Administracija iš viso</t>
  </si>
  <si>
    <t>Administracija</t>
  </si>
  <si>
    <t>Specialusis daugiabučių namų savininkų rėmimo fondas</t>
  </si>
  <si>
    <t>11. Iš viso</t>
  </si>
  <si>
    <t>Iš viso asignavimų (11-10)</t>
  </si>
  <si>
    <t>9. Palūkanų mokėjimas</t>
  </si>
  <si>
    <t>10. Paskolų mokėjimas</t>
  </si>
  <si>
    <t>KAUNO RAJONO SAVIVALDYBĖS ŠVIETIMO ĮSTAIGŲ 2017 M. BIUDŽETAS, TŪKST. EUR</t>
  </si>
  <si>
    <t>KAUNO RAJONO SAVIVALDYBĖS SENIŪNIJŲ 2017 M. BIUDŽETAS, TŪKST. EUR</t>
  </si>
  <si>
    <t>KAUNO RAJONO SAVIVALDYBĖS 2017 M. BIUDŽETO ASIGNAVIMŲ PASKIRSTYMAS PAGAL IŠLAIDŲ GRUPES, TŪKST. EUR</t>
  </si>
  <si>
    <t>Rokų mokykla-darželis</t>
  </si>
  <si>
    <t>2017 m. vasario 23 d. sprendimo Nr. TS-55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</si>
</sst>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;\-0.0;"/>
    <numFmt numFmtId="166" formatCode="0.0;\-0.00;"/>
  </numFmts>
  <fonts count="16" x14ac:knownFonts="1">
    <font>
      <sz val="10"/>
      <name val="Arial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6" fillId="0" borderId="0" xfId="0" applyFont="1" applyAlignment="1"/>
    <xf numFmtId="0" fontId="3" fillId="0" borderId="17" xfId="0" applyFont="1" applyBorder="1" applyAlignment="1">
      <alignment horizontal="right"/>
    </xf>
    <xf numFmtId="164" fontId="1" fillId="0" borderId="18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5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164" fontId="1" fillId="0" borderId="23" xfId="0" applyNumberFormat="1" applyFont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3" fillId="0" borderId="31" xfId="0" applyNumberFormat="1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0" fontId="0" fillId="0" borderId="0" xfId="0" applyBorder="1"/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164" fontId="3" fillId="0" borderId="37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3" fillId="0" borderId="40" xfId="0" applyNumberFormat="1" applyFont="1" applyBorder="1" applyAlignment="1">
      <alignment horizontal="center"/>
    </xf>
    <xf numFmtId="164" fontId="5" fillId="0" borderId="37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164" fontId="3" fillId="0" borderId="37" xfId="0" applyNumberFormat="1" applyFont="1" applyBorder="1"/>
    <xf numFmtId="164" fontId="3" fillId="0" borderId="14" xfId="0" applyNumberFormat="1" applyFont="1" applyBorder="1"/>
    <xf numFmtId="164" fontId="3" fillId="0" borderId="43" xfId="0" applyNumberFormat="1" applyFont="1" applyBorder="1"/>
    <xf numFmtId="164" fontId="3" fillId="0" borderId="41" xfId="0" applyNumberFormat="1" applyFont="1" applyBorder="1"/>
    <xf numFmtId="164" fontId="3" fillId="0" borderId="38" xfId="0" applyNumberFormat="1" applyFont="1" applyBorder="1"/>
    <xf numFmtId="164" fontId="1" fillId="0" borderId="5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44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14" fillId="0" borderId="14" xfId="0" applyNumberFormat="1" applyFont="1" applyFill="1" applyBorder="1" applyAlignment="1">
      <alignment horizontal="center" vertical="center" wrapText="1"/>
    </xf>
    <xf numFmtId="164" fontId="14" fillId="2" borderId="43" xfId="0" applyNumberFormat="1" applyFont="1" applyFill="1" applyBorder="1" applyAlignment="1">
      <alignment horizontal="center" vertical="center" wrapText="1"/>
    </xf>
    <xf numFmtId="164" fontId="14" fillId="2" borderId="37" xfId="0" applyNumberFormat="1" applyFont="1" applyFill="1" applyBorder="1" applyAlignment="1">
      <alignment horizontal="center" vertical="center" wrapText="1"/>
    </xf>
    <xf numFmtId="164" fontId="14" fillId="2" borderId="14" xfId="0" applyNumberFormat="1" applyFont="1" applyFill="1" applyBorder="1" applyAlignment="1">
      <alignment horizontal="center" vertical="center" wrapText="1"/>
    </xf>
    <xf numFmtId="164" fontId="14" fillId="2" borderId="38" xfId="0" applyNumberFormat="1" applyFont="1" applyFill="1" applyBorder="1" applyAlignment="1">
      <alignment horizontal="center" vertical="center" wrapText="1"/>
    </xf>
    <xf numFmtId="164" fontId="14" fillId="2" borderId="46" xfId="0" applyNumberFormat="1" applyFont="1" applyFill="1" applyBorder="1" applyAlignment="1">
      <alignment horizontal="center" vertical="center" wrapText="1"/>
    </xf>
    <xf numFmtId="164" fontId="14" fillId="0" borderId="37" xfId="0" applyNumberFormat="1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164" fontId="14" fillId="0" borderId="43" xfId="0" applyNumberFormat="1" applyFont="1" applyBorder="1" applyAlignment="1">
      <alignment horizontal="center" vertical="center" wrapText="1"/>
    </xf>
    <xf numFmtId="164" fontId="14" fillId="0" borderId="47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37" xfId="0" applyNumberFormat="1" applyFont="1" applyBorder="1"/>
    <xf numFmtId="0" fontId="14" fillId="0" borderId="39" xfId="0" applyFont="1" applyBorder="1"/>
    <xf numFmtId="164" fontId="13" fillId="0" borderId="7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" fillId="0" borderId="35" xfId="0" applyFont="1" applyFill="1" applyBorder="1" applyAlignment="1">
      <alignment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164" fontId="5" fillId="0" borderId="47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/>
    </xf>
    <xf numFmtId="0" fontId="5" fillId="0" borderId="39" xfId="0" applyFont="1" applyBorder="1" applyAlignment="1">
      <alignment horizontal="right"/>
    </xf>
    <xf numFmtId="0" fontId="1" fillId="0" borderId="28" xfId="0" applyFont="1" applyBorder="1"/>
    <xf numFmtId="0" fontId="1" fillId="0" borderId="3" xfId="0" applyFont="1" applyBorder="1"/>
    <xf numFmtId="164" fontId="1" fillId="0" borderId="14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6" fontId="11" fillId="0" borderId="7" xfId="0" applyNumberFormat="1" applyFont="1" applyBorder="1" applyAlignment="1">
      <alignment horizontal="center" vertical="center"/>
    </xf>
    <xf numFmtId="166" fontId="1" fillId="0" borderId="30" xfId="0" applyNumberFormat="1" applyFont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164" fontId="5" fillId="0" borderId="55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39" xfId="0" applyFont="1" applyBorder="1" applyAlignment="1">
      <alignment horizontal="left"/>
    </xf>
    <xf numFmtId="0" fontId="3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/>
    </xf>
    <xf numFmtId="0" fontId="6" fillId="0" borderId="40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2" borderId="66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right"/>
    </xf>
    <xf numFmtId="0" fontId="1" fillId="0" borderId="35" xfId="0" applyFont="1" applyBorder="1" applyAlignment="1">
      <alignment horizontal="right" wrapText="1"/>
    </xf>
    <xf numFmtId="0" fontId="1" fillId="0" borderId="66" xfId="0" applyFont="1" applyBorder="1" applyAlignment="1">
      <alignment horizontal="right" wrapText="1"/>
    </xf>
    <xf numFmtId="0" fontId="1" fillId="2" borderId="16" xfId="0" applyFont="1" applyFill="1" applyBorder="1" applyAlignment="1">
      <alignment horizontal="right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67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/>
    </xf>
    <xf numFmtId="0" fontId="1" fillId="0" borderId="30" xfId="0" applyFont="1" applyBorder="1"/>
    <xf numFmtId="0" fontId="1" fillId="0" borderId="8" xfId="0" applyFont="1" applyBorder="1"/>
    <xf numFmtId="164" fontId="1" fillId="0" borderId="13" xfId="0" applyNumberFormat="1" applyFont="1" applyBorder="1" applyAlignment="1">
      <alignment horizontal="center"/>
    </xf>
    <xf numFmtId="0" fontId="1" fillId="0" borderId="12" xfId="0" applyFont="1" applyBorder="1"/>
    <xf numFmtId="164" fontId="14" fillId="2" borderId="21" xfId="0" applyNumberFormat="1" applyFont="1" applyFill="1" applyBorder="1" applyAlignment="1">
      <alignment horizontal="center" vertical="center" wrapText="1"/>
    </xf>
    <xf numFmtId="164" fontId="14" fillId="2" borderId="22" xfId="0" applyNumberFormat="1" applyFont="1" applyFill="1" applyBorder="1" applyAlignment="1">
      <alignment horizontal="center" vertical="center" wrapText="1"/>
    </xf>
    <xf numFmtId="164" fontId="14" fillId="2" borderId="23" xfId="0" applyNumberFormat="1" applyFont="1" applyFill="1" applyBorder="1" applyAlignment="1">
      <alignment horizontal="center" vertical="center" wrapText="1"/>
    </xf>
    <xf numFmtId="164" fontId="14" fillId="2" borderId="24" xfId="0" applyNumberFormat="1" applyFont="1" applyFill="1" applyBorder="1" applyAlignment="1">
      <alignment horizontal="center" vertical="center" wrapText="1"/>
    </xf>
    <xf numFmtId="164" fontId="14" fillId="2" borderId="68" xfId="0" applyNumberFormat="1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right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left"/>
    </xf>
    <xf numFmtId="0" fontId="4" fillId="0" borderId="36" xfId="0" applyFont="1" applyBorder="1" applyAlignment="1">
      <alignment vertical="center" wrapText="1"/>
    </xf>
    <xf numFmtId="1" fontId="4" fillId="0" borderId="35" xfId="0" applyNumberFormat="1" applyFont="1" applyBorder="1"/>
    <xf numFmtId="0" fontId="10" fillId="0" borderId="35" xfId="0" applyFont="1" applyBorder="1"/>
    <xf numFmtId="1" fontId="10" fillId="0" borderId="35" xfId="0" applyNumberFormat="1" applyFont="1" applyBorder="1"/>
    <xf numFmtId="1" fontId="1" fillId="0" borderId="35" xfId="0" applyNumberFormat="1" applyFont="1" applyBorder="1"/>
    <xf numFmtId="1" fontId="10" fillId="0" borderId="36" xfId="0" applyNumberFormat="1" applyFont="1" applyBorder="1"/>
    <xf numFmtId="1" fontId="10" fillId="0" borderId="40" xfId="0" applyNumberFormat="1" applyFont="1" applyBorder="1"/>
    <xf numFmtId="1" fontId="10" fillId="0" borderId="53" xfId="0" applyNumberFormat="1" applyFont="1" applyBorder="1"/>
    <xf numFmtId="164" fontId="1" fillId="0" borderId="54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1" fillId="2" borderId="50" xfId="0" applyNumberFormat="1" applyFont="1" applyFill="1" applyBorder="1" applyAlignment="1">
      <alignment horizontal="center" vertical="center" wrapText="1"/>
    </xf>
    <xf numFmtId="0" fontId="1" fillId="0" borderId="51" xfId="0" applyFont="1" applyBorder="1"/>
    <xf numFmtId="0" fontId="1" fillId="0" borderId="49" xfId="0" applyFont="1" applyBorder="1"/>
    <xf numFmtId="164" fontId="1" fillId="0" borderId="52" xfId="0" applyNumberFormat="1" applyFont="1" applyBorder="1" applyAlignment="1">
      <alignment horizontal="center"/>
    </xf>
    <xf numFmtId="0" fontId="1" fillId="0" borderId="54" xfId="0" applyFont="1" applyBorder="1"/>
    <xf numFmtId="164" fontId="1" fillId="0" borderId="51" xfId="0" applyNumberFormat="1" applyFont="1" applyBorder="1" applyAlignment="1">
      <alignment horizontal="center"/>
    </xf>
    <xf numFmtId="164" fontId="3" fillId="0" borderId="53" xfId="0" applyNumberFormat="1" applyFont="1" applyBorder="1" applyAlignment="1">
      <alignment horizontal="center"/>
    </xf>
    <xf numFmtId="1" fontId="10" fillId="0" borderId="34" xfId="0" applyNumberFormat="1" applyFont="1" applyBorder="1"/>
    <xf numFmtId="164" fontId="1" fillId="0" borderId="21" xfId="0" applyNumberFormat="1" applyFont="1" applyBorder="1" applyAlignment="1">
      <alignment horizontal="center"/>
    </xf>
    <xf numFmtId="0" fontId="1" fillId="0" borderId="25" xfId="0" applyFont="1" applyBorder="1"/>
    <xf numFmtId="0" fontId="1" fillId="0" borderId="23" xfId="0" applyFont="1" applyBorder="1"/>
    <xf numFmtId="164" fontId="1" fillId="0" borderId="24" xfId="0" applyNumberFormat="1" applyFont="1" applyBorder="1" applyAlignment="1">
      <alignment horizontal="center"/>
    </xf>
    <xf numFmtId="0" fontId="1" fillId="0" borderId="21" xfId="0" applyFont="1" applyBorder="1"/>
    <xf numFmtId="164" fontId="1" fillId="0" borderId="69" xfId="0" applyNumberFormat="1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/>
    <xf numFmtId="0" fontId="4" fillId="0" borderId="23" xfId="0" applyFont="1" applyBorder="1" applyAlignment="1">
      <alignment horizontal="center" vertical="center" wrapText="1"/>
    </xf>
    <xf numFmtId="0" fontId="9" fillId="0" borderId="8" xfId="0" applyFont="1" applyBorder="1" applyAlignment="1"/>
    <xf numFmtId="0" fontId="4" fillId="0" borderId="22" xfId="0" applyFont="1" applyBorder="1" applyAlignment="1">
      <alignment horizontal="center" vertical="center" wrapText="1"/>
    </xf>
    <xf numFmtId="0" fontId="9" fillId="0" borderId="9" xfId="0" applyFont="1" applyBorder="1" applyAlignment="1"/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9" fillId="0" borderId="36" xfId="0" applyFont="1" applyBorder="1" applyAlignment="1"/>
    <xf numFmtId="0" fontId="9" fillId="0" borderId="54" xfId="0" applyFont="1" applyBorder="1" applyAlignment="1"/>
    <xf numFmtId="0" fontId="9" fillId="0" borderId="49" xfId="0" applyFont="1" applyBorder="1" applyAlignment="1"/>
    <xf numFmtId="0" fontId="5" fillId="0" borderId="1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9" fillId="0" borderId="52" xfId="0" applyFont="1" applyBorder="1" applyAlignment="1"/>
    <xf numFmtId="0" fontId="4" fillId="0" borderId="57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50" xfId="0" applyFont="1" applyBorder="1" applyAlignment="1"/>
    <xf numFmtId="0" fontId="5" fillId="0" borderId="5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9" fillId="0" borderId="53" xfId="0" applyFont="1" applyBorder="1" applyAlignment="1"/>
    <xf numFmtId="0" fontId="4" fillId="0" borderId="25" xfId="0" applyFont="1" applyBorder="1" applyAlignment="1">
      <alignment horizontal="center" vertical="center" wrapText="1"/>
    </xf>
    <xf numFmtId="0" fontId="9" fillId="0" borderId="51" xfId="0" applyFont="1" applyBorder="1" applyAlignment="1"/>
    <xf numFmtId="0" fontId="9" fillId="0" borderId="13" xfId="0" applyFont="1" applyBorder="1" applyAlignment="1"/>
    <xf numFmtId="0" fontId="8" fillId="0" borderId="5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8" fillId="0" borderId="49" xfId="0" applyFont="1" applyBorder="1" applyAlignment="1"/>
    <xf numFmtId="0" fontId="8" fillId="0" borderId="50" xfId="0" applyFont="1" applyBorder="1" applyAlignment="1"/>
    <xf numFmtId="0" fontId="8" fillId="0" borderId="54" xfId="0" applyFont="1" applyBorder="1" applyAlignment="1"/>
    <xf numFmtId="0" fontId="4" fillId="0" borderId="4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8" fillId="0" borderId="53" xfId="0" applyFont="1" applyBorder="1" applyAlignment="1"/>
    <xf numFmtId="0" fontId="8" fillId="0" borderId="51" xfId="0" applyFont="1" applyBorder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6"/>
  <sheetViews>
    <sheetView topLeftCell="N1" workbookViewId="0">
      <pane xSplit="14970"/>
      <selection activeCell="Y3" sqref="Y3"/>
      <selection pane="topRight" activeCell="S31" sqref="S31"/>
    </sheetView>
  </sheetViews>
  <sheetFormatPr defaultRowHeight="12.75" x14ac:dyDescent="0.2"/>
  <cols>
    <col min="1" max="1" width="28" customWidth="1"/>
    <col min="2" max="2" width="9.7109375" customWidth="1"/>
    <col min="3" max="3" width="10.5703125" customWidth="1"/>
    <col min="4" max="4" width="9.7109375" customWidth="1"/>
    <col min="5" max="5" width="11" customWidth="1"/>
    <col min="6" max="6" width="9.7109375" customWidth="1"/>
    <col min="7" max="7" width="9.5703125" customWidth="1"/>
    <col min="8" max="8" width="7.140625" customWidth="1"/>
    <col min="9" max="9" width="9.28515625" customWidth="1"/>
    <col min="10" max="10" width="7.5703125" customWidth="1"/>
    <col min="11" max="11" width="8.28515625" customWidth="1"/>
    <col min="12" max="12" width="7.5703125" customWidth="1"/>
    <col min="13" max="13" width="11.5703125" customWidth="1"/>
    <col min="14" max="14" width="9.5703125" customWidth="1"/>
    <col min="15" max="15" width="7.5703125" customWidth="1"/>
    <col min="16" max="16" width="10.7109375" customWidth="1"/>
    <col min="17" max="17" width="8.42578125" customWidth="1"/>
    <col min="18" max="18" width="8.140625" customWidth="1"/>
    <col min="19" max="19" width="9.28515625" customWidth="1"/>
    <col min="20" max="20" width="8.42578125" customWidth="1"/>
    <col min="21" max="21" width="9.5703125" customWidth="1"/>
    <col min="22" max="22" width="10.7109375" customWidth="1"/>
    <col min="23" max="23" width="10.5703125" customWidth="1"/>
    <col min="24" max="24" width="9.42578125" customWidth="1"/>
    <col min="25" max="25" width="10.42578125" customWidth="1"/>
    <col min="26" max="26" width="10.5703125" bestFit="1" customWidth="1"/>
  </cols>
  <sheetData>
    <row r="1" spans="1:26" ht="15" x14ac:dyDescent="0.25">
      <c r="T1" s="1" t="s">
        <v>14</v>
      </c>
      <c r="U1" s="1"/>
      <c r="V1" s="1"/>
      <c r="W1" s="1"/>
      <c r="Z1" s="21"/>
    </row>
    <row r="2" spans="1:26" ht="15" x14ac:dyDescent="0.25">
      <c r="T2" s="1" t="s">
        <v>142</v>
      </c>
      <c r="U2" s="1"/>
      <c r="V2" s="1"/>
      <c r="W2" s="1"/>
      <c r="Z2" s="21"/>
    </row>
    <row r="3" spans="1:26" ht="15" x14ac:dyDescent="0.25">
      <c r="T3" s="22" t="s">
        <v>38</v>
      </c>
      <c r="U3" s="1"/>
      <c r="V3" s="1"/>
      <c r="W3" s="1"/>
      <c r="Z3" s="21"/>
    </row>
    <row r="4" spans="1:26" ht="15" x14ac:dyDescent="0.25">
      <c r="V4" s="22"/>
      <c r="W4" s="1"/>
      <c r="X4" s="1"/>
      <c r="Y4" s="1"/>
      <c r="Z4" s="21"/>
    </row>
    <row r="5" spans="1:26" ht="15.75" x14ac:dyDescent="0.25">
      <c r="A5" s="258" t="s">
        <v>140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</row>
    <row r="6" spans="1:26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6.5" customHeight="1" thickBot="1" x14ac:dyDescent="0.3">
      <c r="A7" s="265" t="s">
        <v>0</v>
      </c>
      <c r="B7" s="277" t="s">
        <v>4</v>
      </c>
      <c r="C7" s="278"/>
      <c r="D7" s="278"/>
      <c r="E7" s="279"/>
      <c r="F7" s="267" t="s">
        <v>39</v>
      </c>
      <c r="G7" s="268"/>
      <c r="H7" s="269"/>
      <c r="I7" s="269"/>
      <c r="J7" s="270" t="s">
        <v>69</v>
      </c>
      <c r="K7" s="271"/>
      <c r="L7" s="272"/>
      <c r="M7" s="287" t="s">
        <v>5</v>
      </c>
      <c r="N7" s="268"/>
      <c r="O7" s="269"/>
      <c r="P7" s="284"/>
      <c r="Q7" s="32" t="s">
        <v>70</v>
      </c>
      <c r="R7" s="288" t="s">
        <v>66</v>
      </c>
      <c r="S7" s="289"/>
      <c r="T7" s="289"/>
      <c r="U7" s="290"/>
      <c r="V7" s="267" t="s">
        <v>3</v>
      </c>
      <c r="W7" s="268"/>
      <c r="X7" s="268"/>
      <c r="Y7" s="284"/>
      <c r="Z7" s="1"/>
    </row>
    <row r="8" spans="1:26" ht="46.5" customHeight="1" x14ac:dyDescent="0.25">
      <c r="A8" s="266"/>
      <c r="B8" s="259" t="s">
        <v>1</v>
      </c>
      <c r="C8" s="261" t="s">
        <v>7</v>
      </c>
      <c r="D8" s="261" t="s">
        <v>2</v>
      </c>
      <c r="E8" s="263" t="s">
        <v>3</v>
      </c>
      <c r="F8" s="259" t="s">
        <v>1</v>
      </c>
      <c r="G8" s="261" t="s">
        <v>7</v>
      </c>
      <c r="H8" s="282" t="s">
        <v>6</v>
      </c>
      <c r="I8" s="280" t="s">
        <v>3</v>
      </c>
      <c r="J8" s="259" t="s">
        <v>1</v>
      </c>
      <c r="K8" s="261" t="s">
        <v>7</v>
      </c>
      <c r="L8" s="263" t="s">
        <v>3</v>
      </c>
      <c r="M8" s="292" t="s">
        <v>1</v>
      </c>
      <c r="N8" s="261" t="s">
        <v>7</v>
      </c>
      <c r="O8" s="261" t="s">
        <v>2</v>
      </c>
      <c r="P8" s="263" t="s">
        <v>3</v>
      </c>
      <c r="Q8" s="273" t="s">
        <v>6</v>
      </c>
      <c r="R8" s="259" t="s">
        <v>1</v>
      </c>
      <c r="S8" s="261" t="s">
        <v>7</v>
      </c>
      <c r="T8" s="261" t="s">
        <v>2</v>
      </c>
      <c r="U8" s="280" t="s">
        <v>3</v>
      </c>
      <c r="V8" s="259" t="s">
        <v>1</v>
      </c>
      <c r="W8" s="261" t="s">
        <v>7</v>
      </c>
      <c r="X8" s="280" t="s">
        <v>2</v>
      </c>
      <c r="Y8" s="273" t="s">
        <v>3</v>
      </c>
      <c r="Z8" s="1"/>
    </row>
    <row r="9" spans="1:26" ht="15.75" thickBot="1" x14ac:dyDescent="0.25">
      <c r="A9" s="266"/>
      <c r="B9" s="260"/>
      <c r="C9" s="262"/>
      <c r="D9" s="262"/>
      <c r="E9" s="264"/>
      <c r="F9" s="275"/>
      <c r="G9" s="276"/>
      <c r="H9" s="283"/>
      <c r="I9" s="281"/>
      <c r="J9" s="275"/>
      <c r="K9" s="276"/>
      <c r="L9" s="286"/>
      <c r="M9" s="293"/>
      <c r="N9" s="276"/>
      <c r="O9" s="276"/>
      <c r="P9" s="286"/>
      <c r="Q9" s="274"/>
      <c r="R9" s="275"/>
      <c r="S9" s="276"/>
      <c r="T9" s="276"/>
      <c r="U9" s="281"/>
      <c r="V9" s="260"/>
      <c r="W9" s="262"/>
      <c r="X9" s="294"/>
      <c r="Y9" s="291"/>
      <c r="Z9" s="3"/>
    </row>
    <row r="10" spans="1:26" ht="16.5" thickBot="1" x14ac:dyDescent="0.3">
      <c r="A10" s="189" t="s">
        <v>131</v>
      </c>
      <c r="B10" s="115">
        <f>B12+B22+B13+B14+B15+B16+B17+B18+B19+B20+B21+B11</f>
        <v>4301.4000000000005</v>
      </c>
      <c r="C10" s="113">
        <f>C12+C22+C13+C14+C15+C16+C17+C18+C19+C20+C21+C23+C24+C26+C25+C11</f>
        <v>13201.900000000001</v>
      </c>
      <c r="D10" s="113">
        <f>D12+D22+D13+D14+D15+D16+D17+D18+D19+D20+D21+D11</f>
        <v>3975.7</v>
      </c>
      <c r="E10" s="114">
        <f>SUM(B10:D10)</f>
        <v>21479.000000000004</v>
      </c>
      <c r="F10" s="115">
        <f>SUM(F11:F19)</f>
        <v>799.4</v>
      </c>
      <c r="G10" s="116">
        <f>SUM(G11:G19)</f>
        <v>2087.4</v>
      </c>
      <c r="H10" s="117">
        <f>SUM(H11:H13)</f>
        <v>0.6</v>
      </c>
      <c r="I10" s="114">
        <f>SUM(F10:H10)</f>
        <v>2887.4</v>
      </c>
      <c r="J10" s="115">
        <f>SUM(J11:J26)</f>
        <v>18.3</v>
      </c>
      <c r="K10" s="116">
        <f>SUM(K11:K26)</f>
        <v>190.7</v>
      </c>
      <c r="L10" s="114">
        <f>SUM(J10:K10)</f>
        <v>209</v>
      </c>
      <c r="M10" s="115">
        <f>SUM(M12:M13)</f>
        <v>477.29999999999995</v>
      </c>
      <c r="N10" s="116">
        <f>SUM(N12:N13)</f>
        <v>154.19999999999999</v>
      </c>
      <c r="O10" s="117">
        <f>SUM(O12:O13)</f>
        <v>0</v>
      </c>
      <c r="P10" s="114">
        <f>SUM(M10:N10)</f>
        <v>631.5</v>
      </c>
      <c r="Q10" s="118">
        <f>Q13+Q14+Q11</f>
        <v>190</v>
      </c>
      <c r="R10" s="115">
        <f>SUM(R11:R15)</f>
        <v>4.5999999999999996</v>
      </c>
      <c r="S10" s="113">
        <f>SUM(S11:S15)</f>
        <v>413.5</v>
      </c>
      <c r="T10" s="116">
        <f>SUM(T11:T15)</f>
        <v>150</v>
      </c>
      <c r="U10" s="117">
        <f>SUM(R10:T10)</f>
        <v>568.1</v>
      </c>
      <c r="V10" s="119">
        <f>R10+M10+F10+B10+J10</f>
        <v>5601.0000000000009</v>
      </c>
      <c r="W10" s="120">
        <f>S10+N10+G10+C10+K10</f>
        <v>16047.700000000003</v>
      </c>
      <c r="X10" s="121">
        <f>T10+Q10+D10+H10</f>
        <v>4316.3</v>
      </c>
      <c r="Y10" s="122">
        <f>SUM(V10:X10)</f>
        <v>25965.000000000004</v>
      </c>
      <c r="Z10" s="3"/>
    </row>
    <row r="11" spans="1:26" ht="15.75" x14ac:dyDescent="0.25">
      <c r="A11" s="217" t="s">
        <v>132</v>
      </c>
      <c r="B11" s="42">
        <v>2286.3000000000002</v>
      </c>
      <c r="C11" s="218">
        <f>5050.8-975.6+14.6+950+50-974.4-3+200</f>
        <v>4312.4000000000005</v>
      </c>
      <c r="D11" s="218">
        <f>780.7+200+974.4</f>
        <v>1955.1</v>
      </c>
      <c r="E11" s="44">
        <f t="shared" ref="E11:E33" si="0">SUM(B11:D11)</f>
        <v>8553.8000000000011</v>
      </c>
      <c r="F11" s="42">
        <v>438.2</v>
      </c>
      <c r="G11" s="219">
        <v>438.7</v>
      </c>
      <c r="H11" s="220"/>
      <c r="I11" s="44">
        <f>SUM(F11:H11)</f>
        <v>876.9</v>
      </c>
      <c r="J11" s="42">
        <v>18.3</v>
      </c>
      <c r="K11" s="219">
        <v>5.7</v>
      </c>
      <c r="L11" s="44">
        <f>SUM(J11:K11)</f>
        <v>24</v>
      </c>
      <c r="M11" s="212"/>
      <c r="N11" s="214"/>
      <c r="O11" s="215"/>
      <c r="P11" s="213"/>
      <c r="Q11" s="216"/>
      <c r="R11" s="42"/>
      <c r="S11" s="218">
        <v>324</v>
      </c>
      <c r="T11" s="219">
        <v>16</v>
      </c>
      <c r="U11" s="220">
        <f>SUM(R11:T11)</f>
        <v>340</v>
      </c>
      <c r="V11" s="36">
        <f>R11+M11+F11+B11+J11</f>
        <v>2742.8</v>
      </c>
      <c r="W11" s="41">
        <f>S11+N11+G11+C11+K11</f>
        <v>5080.8</v>
      </c>
      <c r="X11" s="37">
        <f>T11+Q11+D11</f>
        <v>1971.1</v>
      </c>
      <c r="Y11" s="256">
        <f>SUM(V11:X11)</f>
        <v>9794.7000000000007</v>
      </c>
      <c r="Z11" s="206"/>
    </row>
    <row r="12" spans="1:26" ht="15" x14ac:dyDescent="0.25">
      <c r="A12" s="197" t="s">
        <v>67</v>
      </c>
      <c r="B12" s="108">
        <v>249.2</v>
      </c>
      <c r="C12" s="171">
        <v>531.20000000000005</v>
      </c>
      <c r="D12" s="109">
        <v>3.5</v>
      </c>
      <c r="E12" s="48">
        <f t="shared" si="0"/>
        <v>783.90000000000009</v>
      </c>
      <c r="F12" s="108"/>
      <c r="G12" s="109"/>
      <c r="H12" s="110"/>
      <c r="I12" s="48">
        <f t="shared" ref="I12:I34" si="1">SUM(F12:G12)</f>
        <v>0</v>
      </c>
      <c r="J12" s="108"/>
      <c r="K12" s="109"/>
      <c r="L12" s="48"/>
      <c r="M12" s="108"/>
      <c r="N12" s="109"/>
      <c r="O12" s="110"/>
      <c r="P12" s="48">
        <f>SUM(M12:N12)</f>
        <v>0</v>
      </c>
      <c r="Q12" s="111"/>
      <c r="R12" s="108"/>
      <c r="S12" s="109"/>
      <c r="T12" s="109"/>
      <c r="U12" s="110">
        <f t="shared" ref="U12:U16" si="2">SUM(R12:T12)</f>
        <v>0</v>
      </c>
      <c r="V12" s="10">
        <f t="shared" ref="V12:V19" si="3">R12+M12+F12+B12+J12</f>
        <v>249.2</v>
      </c>
      <c r="W12" s="7">
        <f t="shared" ref="W12:W19" si="4">S12+N12+G12+C12+K12</f>
        <v>531.20000000000005</v>
      </c>
      <c r="X12" s="8">
        <f>T12+Q12+D12</f>
        <v>3.5</v>
      </c>
      <c r="Y12" s="112">
        <f t="shared" ref="Y12:Y15" si="5">SUM(V12:X12)</f>
        <v>783.90000000000009</v>
      </c>
      <c r="Z12" s="3"/>
    </row>
    <row r="13" spans="1:26" ht="15.75" customHeight="1" x14ac:dyDescent="0.25">
      <c r="A13" s="198" t="s">
        <v>68</v>
      </c>
      <c r="B13" s="70"/>
      <c r="C13" s="172">
        <v>172</v>
      </c>
      <c r="D13" s="96">
        <v>20</v>
      </c>
      <c r="E13" s="97">
        <f t="shared" si="0"/>
        <v>192</v>
      </c>
      <c r="F13" s="72">
        <v>12.5</v>
      </c>
      <c r="G13" s="54">
        <v>517.20000000000005</v>
      </c>
      <c r="H13" s="77">
        <v>0.6</v>
      </c>
      <c r="I13" s="71">
        <f>SUM(F13:H13)</f>
        <v>530.30000000000007</v>
      </c>
      <c r="J13" s="57"/>
      <c r="K13" s="53">
        <v>185</v>
      </c>
      <c r="L13" s="45">
        <f>SUM(J13:K13)</f>
        <v>185</v>
      </c>
      <c r="M13" s="72">
        <f>334.4+142.9</f>
        <v>477.29999999999995</v>
      </c>
      <c r="N13" s="54">
        <f>103.6+50.6</f>
        <v>154.19999999999999</v>
      </c>
      <c r="O13" s="77"/>
      <c r="P13" s="71">
        <f>SUM(M13:N13)</f>
        <v>631.5</v>
      </c>
      <c r="Q13" s="55"/>
      <c r="R13" s="72">
        <v>4.5999999999999996</v>
      </c>
      <c r="S13" s="54">
        <v>59.1</v>
      </c>
      <c r="T13" s="170">
        <v>132</v>
      </c>
      <c r="U13" s="77">
        <f t="shared" si="2"/>
        <v>195.7</v>
      </c>
      <c r="V13" s="9">
        <f t="shared" si="3"/>
        <v>494.4</v>
      </c>
      <c r="W13" s="4">
        <f>S13+N13+G13+C13+K13</f>
        <v>1087.5</v>
      </c>
      <c r="X13" s="5">
        <f>T13+Q13+D13+H13+O13</f>
        <v>152.6</v>
      </c>
      <c r="Y13" s="95">
        <f t="shared" si="5"/>
        <v>1734.5</v>
      </c>
      <c r="Z13" s="3"/>
    </row>
    <row r="14" spans="1:26" ht="15" x14ac:dyDescent="0.25">
      <c r="A14" s="198" t="s">
        <v>127</v>
      </c>
      <c r="B14" s="57"/>
      <c r="C14" s="173">
        <v>1340.4</v>
      </c>
      <c r="D14" s="53">
        <v>775</v>
      </c>
      <c r="E14" s="45">
        <f t="shared" si="0"/>
        <v>2115.4</v>
      </c>
      <c r="F14" s="57"/>
      <c r="G14" s="53"/>
      <c r="H14" s="77"/>
      <c r="I14" s="71">
        <f t="shared" si="1"/>
        <v>0</v>
      </c>
      <c r="J14" s="57"/>
      <c r="K14" s="53"/>
      <c r="L14" s="45"/>
      <c r="M14" s="57"/>
      <c r="N14" s="53"/>
      <c r="O14" s="77"/>
      <c r="P14" s="71">
        <f>SUM(M14:N14)</f>
        <v>0</v>
      </c>
      <c r="Q14" s="68">
        <v>190</v>
      </c>
      <c r="R14" s="57"/>
      <c r="S14" s="53"/>
      <c r="T14" s="53"/>
      <c r="U14" s="77">
        <f t="shared" si="2"/>
        <v>0</v>
      </c>
      <c r="V14" s="9">
        <f t="shared" si="3"/>
        <v>0</v>
      </c>
      <c r="W14" s="4">
        <f t="shared" si="4"/>
        <v>1340.4</v>
      </c>
      <c r="X14" s="5">
        <f>T14+Q14+D14</f>
        <v>965</v>
      </c>
      <c r="Y14" s="95">
        <f t="shared" si="5"/>
        <v>2305.4</v>
      </c>
      <c r="Z14" s="3"/>
    </row>
    <row r="15" spans="1:26" ht="15" x14ac:dyDescent="0.25">
      <c r="A15" s="198" t="s">
        <v>82</v>
      </c>
      <c r="B15" s="57">
        <v>1495.4</v>
      </c>
      <c r="C15" s="173">
        <v>2414.8000000000002</v>
      </c>
      <c r="D15" s="53">
        <v>595.1</v>
      </c>
      <c r="E15" s="45">
        <f t="shared" ref="E15:E21" si="6">SUM(B15:D15)</f>
        <v>4505.3</v>
      </c>
      <c r="F15" s="57"/>
      <c r="G15" s="53"/>
      <c r="H15" s="77"/>
      <c r="I15" s="71">
        <f>SUM(F15:G15)</f>
        <v>0</v>
      </c>
      <c r="J15" s="57"/>
      <c r="K15" s="53"/>
      <c r="L15" s="45"/>
      <c r="M15" s="57"/>
      <c r="N15" s="53"/>
      <c r="O15" s="77"/>
      <c r="P15" s="71">
        <f>SUM(M15:N15)</f>
        <v>0</v>
      </c>
      <c r="Q15" s="68"/>
      <c r="R15" s="57"/>
      <c r="S15" s="53">
        <v>30.4</v>
      </c>
      <c r="T15" s="53">
        <v>2</v>
      </c>
      <c r="U15" s="77">
        <f t="shared" si="2"/>
        <v>32.4</v>
      </c>
      <c r="V15" s="9">
        <f t="shared" si="3"/>
        <v>1495.4</v>
      </c>
      <c r="W15" s="4">
        <f t="shared" si="4"/>
        <v>2445.2000000000003</v>
      </c>
      <c r="X15" s="5">
        <f>T15+Q15+D15</f>
        <v>597.1</v>
      </c>
      <c r="Y15" s="95">
        <f t="shared" si="5"/>
        <v>4537.7000000000007</v>
      </c>
      <c r="Z15" s="3"/>
    </row>
    <row r="16" spans="1:26" ht="15" x14ac:dyDescent="0.25">
      <c r="A16" s="198" t="s">
        <v>79</v>
      </c>
      <c r="B16" s="69"/>
      <c r="C16" s="53">
        <v>1173.7</v>
      </c>
      <c r="D16" s="53">
        <v>70</v>
      </c>
      <c r="E16" s="45">
        <f t="shared" si="6"/>
        <v>1243.7</v>
      </c>
      <c r="F16" s="57"/>
      <c r="G16" s="53"/>
      <c r="H16" s="77"/>
      <c r="I16" s="71"/>
      <c r="J16" s="57"/>
      <c r="K16" s="53"/>
      <c r="L16" s="45"/>
      <c r="M16" s="57"/>
      <c r="N16" s="53"/>
      <c r="O16" s="77"/>
      <c r="P16" s="71"/>
      <c r="Q16" s="68"/>
      <c r="R16" s="57"/>
      <c r="S16" s="53"/>
      <c r="T16" s="53"/>
      <c r="U16" s="77">
        <f t="shared" si="2"/>
        <v>0</v>
      </c>
      <c r="V16" s="9">
        <f t="shared" si="3"/>
        <v>0</v>
      </c>
      <c r="W16" s="4">
        <f t="shared" si="4"/>
        <v>1173.7</v>
      </c>
      <c r="X16" s="5">
        <f t="shared" ref="X16:X19" si="7">T16+Q16+D16</f>
        <v>70</v>
      </c>
      <c r="Y16" s="95">
        <f t="shared" ref="Y16:Y21" si="8">SUM(V16:X16)</f>
        <v>1243.7</v>
      </c>
      <c r="Z16" s="3"/>
    </row>
    <row r="17" spans="1:26" ht="15" x14ac:dyDescent="0.25">
      <c r="A17" s="198" t="s">
        <v>80</v>
      </c>
      <c r="B17" s="69"/>
      <c r="C17" s="53">
        <v>810</v>
      </c>
      <c r="D17" s="53">
        <v>431</v>
      </c>
      <c r="E17" s="45">
        <f t="shared" si="6"/>
        <v>1241</v>
      </c>
      <c r="F17" s="57"/>
      <c r="G17" s="53"/>
      <c r="H17" s="77"/>
      <c r="I17" s="71">
        <f>SUM(F17:G17)</f>
        <v>0</v>
      </c>
      <c r="J17" s="57"/>
      <c r="K17" s="53"/>
      <c r="L17" s="45">
        <f>SUM(J17:K17)</f>
        <v>0</v>
      </c>
      <c r="M17" s="57"/>
      <c r="N17" s="53"/>
      <c r="O17" s="77"/>
      <c r="P17" s="71"/>
      <c r="Q17" s="68"/>
      <c r="R17" s="57"/>
      <c r="S17" s="53"/>
      <c r="T17" s="53"/>
      <c r="U17" s="77"/>
      <c r="V17" s="9">
        <f t="shared" si="3"/>
        <v>0</v>
      </c>
      <c r="W17" s="4">
        <f t="shared" si="4"/>
        <v>810</v>
      </c>
      <c r="X17" s="5">
        <f t="shared" si="7"/>
        <v>431</v>
      </c>
      <c r="Y17" s="95">
        <f t="shared" si="8"/>
        <v>1241</v>
      </c>
      <c r="Z17" s="3"/>
    </row>
    <row r="18" spans="1:26" ht="15" x14ac:dyDescent="0.25">
      <c r="A18" s="198" t="s">
        <v>81</v>
      </c>
      <c r="B18" s="69"/>
      <c r="C18" s="53">
        <f>2000-8.9</f>
        <v>1991.1</v>
      </c>
      <c r="D18" s="53"/>
      <c r="E18" s="45">
        <f t="shared" si="6"/>
        <v>1991.1</v>
      </c>
      <c r="F18" s="57"/>
      <c r="G18" s="53">
        <v>965</v>
      </c>
      <c r="H18" s="77"/>
      <c r="I18" s="71">
        <f>SUM(F18:G18)</f>
        <v>965</v>
      </c>
      <c r="J18" s="57"/>
      <c r="K18" s="53"/>
      <c r="L18" s="45"/>
      <c r="M18" s="57"/>
      <c r="N18" s="53"/>
      <c r="O18" s="77"/>
      <c r="P18" s="71"/>
      <c r="Q18" s="68"/>
      <c r="R18" s="57"/>
      <c r="S18" s="53"/>
      <c r="T18" s="53"/>
      <c r="U18" s="77"/>
      <c r="V18" s="9">
        <f t="shared" si="3"/>
        <v>0</v>
      </c>
      <c r="W18" s="4">
        <f t="shared" si="4"/>
        <v>2956.1</v>
      </c>
      <c r="X18" s="5">
        <f t="shared" si="7"/>
        <v>0</v>
      </c>
      <c r="Y18" s="95">
        <f t="shared" si="8"/>
        <v>2956.1</v>
      </c>
      <c r="Z18" s="3"/>
    </row>
    <row r="19" spans="1:26" ht="15" x14ac:dyDescent="0.25">
      <c r="A19" s="198" t="s">
        <v>85</v>
      </c>
      <c r="B19" s="57">
        <v>51.5</v>
      </c>
      <c r="C19" s="53">
        <v>24.9</v>
      </c>
      <c r="D19" s="53">
        <v>50</v>
      </c>
      <c r="E19" s="45">
        <f t="shared" si="6"/>
        <v>126.4</v>
      </c>
      <c r="F19" s="57">
        <v>348.7</v>
      </c>
      <c r="G19" s="53">
        <v>166.5</v>
      </c>
      <c r="H19" s="77"/>
      <c r="I19" s="71">
        <f>SUM(F19:G19)</f>
        <v>515.20000000000005</v>
      </c>
      <c r="J19" s="57"/>
      <c r="K19" s="53"/>
      <c r="L19" s="45">
        <f>SUM(J19:K19)</f>
        <v>0</v>
      </c>
      <c r="M19" s="57"/>
      <c r="N19" s="53"/>
      <c r="O19" s="77"/>
      <c r="P19" s="71"/>
      <c r="Q19" s="68"/>
      <c r="R19" s="57"/>
      <c r="S19" s="53"/>
      <c r="T19" s="53"/>
      <c r="U19" s="77"/>
      <c r="V19" s="9">
        <f t="shared" si="3"/>
        <v>400.2</v>
      </c>
      <c r="W19" s="4">
        <f t="shared" si="4"/>
        <v>191.4</v>
      </c>
      <c r="X19" s="5">
        <f t="shared" si="7"/>
        <v>50</v>
      </c>
      <c r="Y19" s="95">
        <f t="shared" si="8"/>
        <v>641.6</v>
      </c>
      <c r="Z19" s="3"/>
    </row>
    <row r="20" spans="1:26" ht="15" x14ac:dyDescent="0.25">
      <c r="A20" s="198" t="s">
        <v>62</v>
      </c>
      <c r="B20" s="57">
        <v>96</v>
      </c>
      <c r="C20" s="53">
        <v>130</v>
      </c>
      <c r="D20" s="53">
        <v>74</v>
      </c>
      <c r="E20" s="45">
        <f t="shared" si="6"/>
        <v>300</v>
      </c>
      <c r="F20" s="57"/>
      <c r="G20" s="53"/>
      <c r="H20" s="77"/>
      <c r="I20" s="71"/>
      <c r="J20" s="57"/>
      <c r="K20" s="53"/>
      <c r="L20" s="45"/>
      <c r="M20" s="57"/>
      <c r="N20" s="53"/>
      <c r="O20" s="77"/>
      <c r="P20" s="71"/>
      <c r="Q20" s="68"/>
      <c r="R20" s="57"/>
      <c r="S20" s="53"/>
      <c r="T20" s="53"/>
      <c r="U20" s="77"/>
      <c r="V20" s="9">
        <f>R20+M20+F20+B20+J20</f>
        <v>96</v>
      </c>
      <c r="W20" s="4">
        <f>S20+N20+G20+C20+K20</f>
        <v>130</v>
      </c>
      <c r="X20" s="5">
        <f>T20+Q20+D20</f>
        <v>74</v>
      </c>
      <c r="Y20" s="95">
        <f t="shared" si="8"/>
        <v>300</v>
      </c>
      <c r="Z20" s="3"/>
    </row>
    <row r="21" spans="1:26" ht="30" x14ac:dyDescent="0.25">
      <c r="A21" s="198" t="s">
        <v>83</v>
      </c>
      <c r="B21" s="57">
        <v>48</v>
      </c>
      <c r="C21" s="53">
        <v>75</v>
      </c>
      <c r="D21" s="53">
        <v>0</v>
      </c>
      <c r="E21" s="45">
        <f t="shared" si="6"/>
        <v>123</v>
      </c>
      <c r="F21" s="57"/>
      <c r="G21" s="53"/>
      <c r="H21" s="77"/>
      <c r="I21" s="71"/>
      <c r="J21" s="57"/>
      <c r="K21" s="53"/>
      <c r="L21" s="45"/>
      <c r="M21" s="57"/>
      <c r="N21" s="53"/>
      <c r="O21" s="77"/>
      <c r="P21" s="71"/>
      <c r="Q21" s="68"/>
      <c r="R21" s="57"/>
      <c r="S21" s="53"/>
      <c r="T21" s="53"/>
      <c r="U21" s="77"/>
      <c r="V21" s="9">
        <f>R21+M21+F21+B21+J21</f>
        <v>48</v>
      </c>
      <c r="W21" s="4">
        <f>S21+N21+G21+C21+K21</f>
        <v>75</v>
      </c>
      <c r="X21" s="5">
        <f>T21+Q21+D21</f>
        <v>0</v>
      </c>
      <c r="Y21" s="95">
        <f t="shared" si="8"/>
        <v>123</v>
      </c>
      <c r="Z21" s="30"/>
    </row>
    <row r="22" spans="1:26" ht="30" x14ac:dyDescent="0.25">
      <c r="A22" s="199" t="s">
        <v>118</v>
      </c>
      <c r="B22" s="57">
        <v>75</v>
      </c>
      <c r="C22" s="173">
        <v>30.4</v>
      </c>
      <c r="D22" s="53">
        <v>2</v>
      </c>
      <c r="E22" s="45">
        <f t="shared" ref="E22" si="9">SUM(B22:D22)</f>
        <v>107.4</v>
      </c>
      <c r="F22" s="57"/>
      <c r="G22" s="53"/>
      <c r="H22" s="63"/>
      <c r="I22" s="45">
        <f t="shared" ref="I22:I24" si="10">SUM(F22:G22)</f>
        <v>0</v>
      </c>
      <c r="J22" s="57"/>
      <c r="K22" s="53"/>
      <c r="L22" s="45"/>
      <c r="M22" s="57"/>
      <c r="N22" s="53"/>
      <c r="O22" s="63"/>
      <c r="P22" s="45">
        <v>0</v>
      </c>
      <c r="Q22" s="68"/>
      <c r="R22" s="57"/>
      <c r="S22" s="53"/>
      <c r="T22" s="53"/>
      <c r="U22" s="63">
        <f t="shared" ref="U22:U24" si="11">SUM(R22:T22)</f>
        <v>0</v>
      </c>
      <c r="V22" s="9">
        <f t="shared" ref="V22:V24" si="12">R22+M22+F22+B22+J22</f>
        <v>75</v>
      </c>
      <c r="W22" s="4">
        <f t="shared" ref="W22:W24" si="13">S22+N22+G22+C22+K22</f>
        <v>30.4</v>
      </c>
      <c r="X22" s="5">
        <f t="shared" ref="X22:X24" si="14">T22+Q22+D22</f>
        <v>2</v>
      </c>
      <c r="Y22" s="95">
        <f t="shared" ref="Y22" si="15">SUM(V22:X22)</f>
        <v>107.4</v>
      </c>
      <c r="Z22" s="30"/>
    </row>
    <row r="23" spans="1:26" ht="15" x14ac:dyDescent="0.25">
      <c r="A23" s="198" t="s">
        <v>126</v>
      </c>
      <c r="B23" s="201"/>
      <c r="C23" s="54">
        <v>30</v>
      </c>
      <c r="D23" s="55"/>
      <c r="E23" s="56">
        <f>B23+C23+D23</f>
        <v>30</v>
      </c>
      <c r="F23" s="46"/>
      <c r="G23" s="12"/>
      <c r="H23" s="19"/>
      <c r="I23" s="13">
        <f t="shared" si="10"/>
        <v>0</v>
      </c>
      <c r="J23" s="18"/>
      <c r="K23" s="12"/>
      <c r="L23" s="13"/>
      <c r="M23" s="46"/>
      <c r="N23" s="12"/>
      <c r="O23" s="27"/>
      <c r="P23" s="13">
        <f t="shared" ref="P23:P24" si="16">SUM(M23:N23)</f>
        <v>0</v>
      </c>
      <c r="Q23" s="27"/>
      <c r="R23" s="46"/>
      <c r="S23" s="12"/>
      <c r="T23" s="12"/>
      <c r="U23" s="19">
        <f t="shared" si="11"/>
        <v>0</v>
      </c>
      <c r="V23" s="18">
        <f t="shared" si="12"/>
        <v>0</v>
      </c>
      <c r="W23" s="12">
        <f t="shared" si="13"/>
        <v>30</v>
      </c>
      <c r="X23" s="13">
        <f t="shared" si="14"/>
        <v>0</v>
      </c>
      <c r="Y23" s="203">
        <f t="shared" ref="Y23:Y24" si="17">SUM(V23:X23)</f>
        <v>30</v>
      </c>
      <c r="Z23" s="30"/>
    </row>
    <row r="24" spans="1:26" ht="30" x14ac:dyDescent="0.2">
      <c r="A24" s="200" t="s">
        <v>125</v>
      </c>
      <c r="B24" s="201"/>
      <c r="C24" s="54">
        <v>40</v>
      </c>
      <c r="D24" s="55"/>
      <c r="E24" s="45">
        <f>B24+C24+D24</f>
        <v>40</v>
      </c>
      <c r="F24" s="46"/>
      <c r="G24" s="12"/>
      <c r="H24" s="19"/>
      <c r="I24" s="5">
        <f t="shared" si="10"/>
        <v>0</v>
      </c>
      <c r="J24" s="9"/>
      <c r="K24" s="4"/>
      <c r="L24" s="5"/>
      <c r="M24" s="46"/>
      <c r="N24" s="12"/>
      <c r="O24" s="27"/>
      <c r="P24" s="5">
        <f t="shared" si="16"/>
        <v>0</v>
      </c>
      <c r="Q24" s="27"/>
      <c r="R24" s="46"/>
      <c r="S24" s="12"/>
      <c r="T24" s="12"/>
      <c r="U24" s="19">
        <f t="shared" si="11"/>
        <v>0</v>
      </c>
      <c r="V24" s="9">
        <f t="shared" si="12"/>
        <v>0</v>
      </c>
      <c r="W24" s="4">
        <f t="shared" si="13"/>
        <v>40</v>
      </c>
      <c r="X24" s="5">
        <f t="shared" si="14"/>
        <v>0</v>
      </c>
      <c r="Y24" s="204">
        <f t="shared" si="17"/>
        <v>40</v>
      </c>
      <c r="Z24" s="30"/>
    </row>
    <row r="25" spans="1:26" ht="30" x14ac:dyDescent="0.2">
      <c r="A25" s="200" t="s">
        <v>133</v>
      </c>
      <c r="B25" s="201"/>
      <c r="C25" s="54">
        <v>120</v>
      </c>
      <c r="D25" s="55"/>
      <c r="E25" s="45">
        <f>SUM(B25:D25)</f>
        <v>120</v>
      </c>
      <c r="F25" s="46"/>
      <c r="G25" s="12"/>
      <c r="H25" s="19"/>
      <c r="I25" s="5"/>
      <c r="J25" s="9"/>
      <c r="K25" s="4"/>
      <c r="L25" s="5"/>
      <c r="M25" s="46"/>
      <c r="N25" s="12"/>
      <c r="O25" s="27"/>
      <c r="P25" s="5"/>
      <c r="Q25" s="27"/>
      <c r="R25" s="46"/>
      <c r="S25" s="12"/>
      <c r="T25" s="12"/>
      <c r="U25" s="19"/>
      <c r="V25" s="9">
        <f t="shared" ref="V25" si="18">R25+M25+F25+B25+J25</f>
        <v>0</v>
      </c>
      <c r="W25" s="4">
        <f t="shared" ref="W25" si="19">S25+N25+G25+C25+K25</f>
        <v>120</v>
      </c>
      <c r="X25" s="5">
        <f t="shared" ref="X25" si="20">T25+Q25+D25</f>
        <v>0</v>
      </c>
      <c r="Y25" s="203">
        <f t="shared" ref="Y25" si="21">SUM(V25:X25)</f>
        <v>120</v>
      </c>
      <c r="Z25" s="30"/>
    </row>
    <row r="26" spans="1:26" ht="30" x14ac:dyDescent="0.2">
      <c r="A26" s="200" t="s">
        <v>129</v>
      </c>
      <c r="B26" s="201"/>
      <c r="C26" s="54">
        <v>6</v>
      </c>
      <c r="D26" s="55"/>
      <c r="E26" s="45">
        <f>B26+C26+D26</f>
        <v>6</v>
      </c>
      <c r="F26" s="46"/>
      <c r="G26" s="12"/>
      <c r="H26" s="19"/>
      <c r="I26" s="5"/>
      <c r="J26" s="9"/>
      <c r="K26" s="4"/>
      <c r="L26" s="5"/>
      <c r="M26" s="46"/>
      <c r="N26" s="12"/>
      <c r="O26" s="27"/>
      <c r="P26" s="5"/>
      <c r="Q26" s="27"/>
      <c r="R26" s="46"/>
      <c r="S26" s="12"/>
      <c r="T26" s="12"/>
      <c r="U26" s="19"/>
      <c r="V26" s="9">
        <f t="shared" ref="V26" si="22">R26+M26+F26+B26+J26</f>
        <v>0</v>
      </c>
      <c r="W26" s="4">
        <f t="shared" ref="W26" si="23">S26+N26+G26+C26+K26</f>
        <v>6</v>
      </c>
      <c r="X26" s="5">
        <f t="shared" ref="X26" si="24">T26+Q26+D26</f>
        <v>0</v>
      </c>
      <c r="Y26" s="203">
        <f t="shared" ref="Y26" si="25">SUM(V26:X26)</f>
        <v>6</v>
      </c>
      <c r="Z26" s="30"/>
    </row>
    <row r="27" spans="1:26" ht="66.75" customHeight="1" x14ac:dyDescent="0.2">
      <c r="A27" s="190" t="s">
        <v>119</v>
      </c>
      <c r="B27" s="57">
        <v>6574.8</v>
      </c>
      <c r="C27" s="53">
        <v>4921.1000000000004</v>
      </c>
      <c r="D27" s="53">
        <v>755.8</v>
      </c>
      <c r="E27" s="45">
        <f t="shared" si="0"/>
        <v>12251.7</v>
      </c>
      <c r="F27" s="57"/>
      <c r="G27" s="53"/>
      <c r="H27" s="63"/>
      <c r="I27" s="45">
        <f t="shared" si="1"/>
        <v>0</v>
      </c>
      <c r="J27" s="57">
        <v>33.9</v>
      </c>
      <c r="K27" s="53">
        <v>12</v>
      </c>
      <c r="L27" s="45">
        <f>SUM(J27:K27)</f>
        <v>45.9</v>
      </c>
      <c r="M27" s="57">
        <v>11293.5</v>
      </c>
      <c r="N27" s="53">
        <v>3917.5</v>
      </c>
      <c r="O27" s="63">
        <v>22.6</v>
      </c>
      <c r="P27" s="45">
        <f>SUM(M27:O27)</f>
        <v>15233.6</v>
      </c>
      <c r="Q27" s="68"/>
      <c r="R27" s="57">
        <v>7.4</v>
      </c>
      <c r="S27" s="53">
        <v>1400.2</v>
      </c>
      <c r="T27" s="53">
        <v>56.1</v>
      </c>
      <c r="U27" s="63">
        <f>SUM(R27:T27)</f>
        <v>1463.7</v>
      </c>
      <c r="V27" s="9">
        <f t="shared" ref="V27:W34" si="26">R27+M27+F27+B27+J27</f>
        <v>17909.600000000002</v>
      </c>
      <c r="W27" s="4">
        <f t="shared" si="26"/>
        <v>10250.799999999999</v>
      </c>
      <c r="X27" s="5">
        <f>T27+Q27+D27+O27</f>
        <v>834.5</v>
      </c>
      <c r="Y27" s="62">
        <f t="shared" ref="Y27:Y34" si="27">SUM(V27:X27)</f>
        <v>28994.9</v>
      </c>
      <c r="Z27" s="3"/>
    </row>
    <row r="28" spans="1:26" ht="19.5" customHeight="1" x14ac:dyDescent="0.25">
      <c r="A28" s="191" t="s">
        <v>120</v>
      </c>
      <c r="B28" s="9">
        <v>96.6</v>
      </c>
      <c r="C28" s="4">
        <v>43.6</v>
      </c>
      <c r="D28" s="4"/>
      <c r="E28" s="45">
        <f t="shared" si="0"/>
        <v>140.19999999999999</v>
      </c>
      <c r="F28" s="9"/>
      <c r="G28" s="4"/>
      <c r="H28" s="15"/>
      <c r="I28" s="5">
        <f t="shared" si="1"/>
        <v>0</v>
      </c>
      <c r="J28" s="9"/>
      <c r="K28" s="4"/>
      <c r="L28" s="5"/>
      <c r="M28" s="9">
        <v>88</v>
      </c>
      <c r="N28" s="4">
        <v>27.3</v>
      </c>
      <c r="O28" s="15"/>
      <c r="P28" s="5">
        <f>SUM(M28:N28)</f>
        <v>115.3</v>
      </c>
      <c r="Q28" s="50"/>
      <c r="R28" s="9">
        <v>12.5</v>
      </c>
      <c r="S28" s="169">
        <v>93.2</v>
      </c>
      <c r="T28" s="4">
        <v>2</v>
      </c>
      <c r="U28" s="15">
        <f t="shared" ref="U28:U34" si="28">SUM(R28:T28)</f>
        <v>107.7</v>
      </c>
      <c r="V28" s="9">
        <f t="shared" si="26"/>
        <v>197.1</v>
      </c>
      <c r="W28" s="4">
        <f t="shared" si="26"/>
        <v>164.1</v>
      </c>
      <c r="X28" s="5">
        <f t="shared" ref="X28:X34" si="29">T28+Q28+D28</f>
        <v>2</v>
      </c>
      <c r="Y28" s="62">
        <f t="shared" si="27"/>
        <v>363.2</v>
      </c>
      <c r="Z28" s="3"/>
    </row>
    <row r="29" spans="1:26" ht="36.6" customHeight="1" x14ac:dyDescent="0.2">
      <c r="A29" s="192" t="s">
        <v>128</v>
      </c>
      <c r="B29" s="64">
        <v>73.3</v>
      </c>
      <c r="C29" s="4">
        <v>34.200000000000003</v>
      </c>
      <c r="D29" s="7"/>
      <c r="E29" s="48">
        <f t="shared" si="0"/>
        <v>107.5</v>
      </c>
      <c r="F29" s="10">
        <v>13.6</v>
      </c>
      <c r="G29" s="7">
        <v>16.600000000000001</v>
      </c>
      <c r="H29" s="14"/>
      <c r="I29" s="5">
        <f t="shared" si="1"/>
        <v>30.200000000000003</v>
      </c>
      <c r="J29" s="9"/>
      <c r="K29" s="4"/>
      <c r="L29" s="5">
        <f>SUM(J29:K29)</f>
        <v>0</v>
      </c>
      <c r="M29" s="10"/>
      <c r="N29" s="7"/>
      <c r="O29" s="14"/>
      <c r="P29" s="8">
        <f>SUM(M29:N29)</f>
        <v>0</v>
      </c>
      <c r="Q29" s="50"/>
      <c r="R29" s="10">
        <v>5.8</v>
      </c>
      <c r="S29" s="7">
        <v>38.700000000000003</v>
      </c>
      <c r="T29" s="7"/>
      <c r="U29" s="14">
        <f t="shared" si="28"/>
        <v>44.5</v>
      </c>
      <c r="V29" s="9">
        <f t="shared" si="26"/>
        <v>92.699999999999989</v>
      </c>
      <c r="W29" s="4">
        <f t="shared" si="26"/>
        <v>89.5</v>
      </c>
      <c r="X29" s="5">
        <f t="shared" si="29"/>
        <v>0</v>
      </c>
      <c r="Y29" s="62">
        <f t="shared" si="27"/>
        <v>182.2</v>
      </c>
      <c r="Z29" s="3"/>
    </row>
    <row r="30" spans="1:26" ht="30.75" customHeight="1" x14ac:dyDescent="0.2">
      <c r="A30" s="193" t="s">
        <v>121</v>
      </c>
      <c r="B30" s="65">
        <v>173.6</v>
      </c>
      <c r="C30" s="4">
        <v>111.5</v>
      </c>
      <c r="D30" s="4"/>
      <c r="E30" s="48">
        <f t="shared" si="0"/>
        <v>285.10000000000002</v>
      </c>
      <c r="F30" s="9"/>
      <c r="G30" s="4"/>
      <c r="H30" s="15"/>
      <c r="I30" s="5">
        <f t="shared" si="1"/>
        <v>0</v>
      </c>
      <c r="J30" s="9"/>
      <c r="K30" s="4"/>
      <c r="L30" s="5">
        <f>SUM(J30:K30)</f>
        <v>0</v>
      </c>
      <c r="M30" s="10"/>
      <c r="N30" s="7"/>
      <c r="O30" s="14"/>
      <c r="P30" s="8"/>
      <c r="Q30" s="50"/>
      <c r="R30" s="67"/>
      <c r="S30" s="6"/>
      <c r="T30" s="7"/>
      <c r="U30" s="14">
        <f t="shared" si="28"/>
        <v>0</v>
      </c>
      <c r="V30" s="9">
        <f t="shared" si="26"/>
        <v>173.6</v>
      </c>
      <c r="W30" s="4">
        <f t="shared" si="26"/>
        <v>111.5</v>
      </c>
      <c r="X30" s="5">
        <f t="shared" si="29"/>
        <v>0</v>
      </c>
      <c r="Y30" s="62">
        <f t="shared" si="27"/>
        <v>285.10000000000002</v>
      </c>
      <c r="Z30" s="3"/>
    </row>
    <row r="31" spans="1:26" ht="18.75" customHeight="1" x14ac:dyDescent="0.2">
      <c r="A31" s="205" t="s">
        <v>122</v>
      </c>
      <c r="B31" s="66">
        <f>395.8+6.8</f>
        <v>402.6</v>
      </c>
      <c r="C31" s="12">
        <f>312.4+2.1</f>
        <v>314.5</v>
      </c>
      <c r="D31" s="12">
        <v>4.3</v>
      </c>
      <c r="E31" s="48">
        <f t="shared" si="0"/>
        <v>721.4</v>
      </c>
      <c r="F31" s="18">
        <v>324.2</v>
      </c>
      <c r="G31" s="12">
        <v>107.1</v>
      </c>
      <c r="H31" s="19"/>
      <c r="I31" s="5">
        <f t="shared" si="1"/>
        <v>431.29999999999995</v>
      </c>
      <c r="J31" s="9"/>
      <c r="K31" s="4"/>
      <c r="L31" s="5">
        <f>SUM(J31:K31)</f>
        <v>0</v>
      </c>
      <c r="M31" s="9"/>
      <c r="N31" s="4"/>
      <c r="O31" s="15"/>
      <c r="P31" s="5">
        <f t="shared" ref="P31:P34" si="30">SUM(M31:N31)</f>
        <v>0</v>
      </c>
      <c r="Q31" s="50"/>
      <c r="R31" s="9"/>
      <c r="S31" s="4">
        <v>6</v>
      </c>
      <c r="T31" s="4">
        <v>30</v>
      </c>
      <c r="U31" s="15">
        <f t="shared" si="28"/>
        <v>36</v>
      </c>
      <c r="V31" s="9">
        <f t="shared" si="26"/>
        <v>726.8</v>
      </c>
      <c r="W31" s="4">
        <f t="shared" si="26"/>
        <v>427.6</v>
      </c>
      <c r="X31" s="5">
        <f t="shared" si="29"/>
        <v>34.299999999999997</v>
      </c>
      <c r="Y31" s="62">
        <f t="shared" si="27"/>
        <v>1188.7</v>
      </c>
      <c r="Z31" s="3"/>
    </row>
    <row r="32" spans="1:26" ht="17.25" customHeight="1" x14ac:dyDescent="0.2">
      <c r="A32" s="257" t="s">
        <v>123</v>
      </c>
      <c r="B32" s="57"/>
      <c r="C32" s="53"/>
      <c r="D32" s="53"/>
      <c r="E32" s="45">
        <f t="shared" si="0"/>
        <v>0</v>
      </c>
      <c r="F32" s="9">
        <v>226.5</v>
      </c>
      <c r="G32" s="4">
        <v>164</v>
      </c>
      <c r="H32" s="15"/>
      <c r="I32" s="5">
        <f t="shared" si="1"/>
        <v>390.5</v>
      </c>
      <c r="J32" s="9"/>
      <c r="K32" s="4"/>
      <c r="L32" s="5"/>
      <c r="M32" s="9"/>
      <c r="N32" s="4"/>
      <c r="O32" s="15"/>
      <c r="P32" s="5"/>
      <c r="Q32" s="50"/>
      <c r="R32" s="9"/>
      <c r="S32" s="4">
        <v>2</v>
      </c>
      <c r="T32" s="4"/>
      <c r="U32" s="15">
        <f t="shared" si="28"/>
        <v>2</v>
      </c>
      <c r="V32" s="9">
        <f t="shared" si="26"/>
        <v>226.5</v>
      </c>
      <c r="W32" s="4">
        <f t="shared" si="26"/>
        <v>166</v>
      </c>
      <c r="X32" s="5">
        <f t="shared" si="29"/>
        <v>0</v>
      </c>
      <c r="Y32" s="62">
        <f t="shared" si="27"/>
        <v>392.5</v>
      </c>
      <c r="Z32" s="3"/>
    </row>
    <row r="33" spans="1:27" ht="17.25" customHeight="1" x14ac:dyDescent="0.25">
      <c r="A33" s="194" t="s">
        <v>124</v>
      </c>
      <c r="B33" s="73">
        <v>536.70000000000005</v>
      </c>
      <c r="C33" s="74">
        <v>348.4</v>
      </c>
      <c r="D33" s="75"/>
      <c r="E33" s="56">
        <f t="shared" si="0"/>
        <v>885.1</v>
      </c>
      <c r="F33" s="76"/>
      <c r="G33" s="49"/>
      <c r="H33" s="124"/>
      <c r="I33" s="13">
        <f t="shared" si="1"/>
        <v>0</v>
      </c>
      <c r="J33" s="18"/>
      <c r="K33" s="12"/>
      <c r="L33" s="13"/>
      <c r="M33" s="76"/>
      <c r="N33" s="49"/>
      <c r="O33" s="124"/>
      <c r="P33" s="133">
        <f t="shared" si="30"/>
        <v>0</v>
      </c>
      <c r="Q33" s="123"/>
      <c r="R33" s="76"/>
      <c r="S33" s="49">
        <v>4</v>
      </c>
      <c r="T33" s="49"/>
      <c r="U33" s="124">
        <f t="shared" si="28"/>
        <v>4</v>
      </c>
      <c r="V33" s="18">
        <f t="shared" si="26"/>
        <v>536.70000000000005</v>
      </c>
      <c r="W33" s="12">
        <f t="shared" si="26"/>
        <v>352.4</v>
      </c>
      <c r="X33" s="13">
        <f t="shared" si="29"/>
        <v>0</v>
      </c>
      <c r="Y33" s="94">
        <f t="shared" si="27"/>
        <v>889.1</v>
      </c>
      <c r="Z33" s="3"/>
    </row>
    <row r="34" spans="1:27" ht="17.25" customHeight="1" x14ac:dyDescent="0.2">
      <c r="A34" s="202" t="s">
        <v>136</v>
      </c>
      <c r="B34" s="57"/>
      <c r="C34" s="195">
        <v>100</v>
      </c>
      <c r="D34" s="53"/>
      <c r="E34" s="45">
        <f>B34+C34+D34</f>
        <v>100</v>
      </c>
      <c r="F34" s="9"/>
      <c r="G34" s="4"/>
      <c r="H34" s="15"/>
      <c r="I34" s="5">
        <f t="shared" si="1"/>
        <v>0</v>
      </c>
      <c r="J34" s="9"/>
      <c r="K34" s="4"/>
      <c r="L34" s="5"/>
      <c r="M34" s="11"/>
      <c r="N34" s="4"/>
      <c r="O34" s="15"/>
      <c r="P34" s="15">
        <f t="shared" si="30"/>
        <v>0</v>
      </c>
      <c r="Q34" s="196"/>
      <c r="R34" s="9"/>
      <c r="S34" s="4"/>
      <c r="T34" s="4"/>
      <c r="U34" s="15">
        <f t="shared" si="28"/>
        <v>0</v>
      </c>
      <c r="V34" s="9">
        <f t="shared" si="26"/>
        <v>0</v>
      </c>
      <c r="W34" s="4">
        <f t="shared" si="26"/>
        <v>100</v>
      </c>
      <c r="X34" s="5">
        <f t="shared" si="29"/>
        <v>0</v>
      </c>
      <c r="Y34" s="62">
        <f t="shared" si="27"/>
        <v>100</v>
      </c>
      <c r="Z34" s="188"/>
    </row>
    <row r="35" spans="1:27" ht="17.25" customHeight="1" thickBot="1" x14ac:dyDescent="0.25">
      <c r="A35" s="222" t="s">
        <v>137</v>
      </c>
      <c r="B35" s="223"/>
      <c r="C35" s="224">
        <v>1448</v>
      </c>
      <c r="D35" s="74"/>
      <c r="E35" s="225">
        <f>SUM(B35:D35)</f>
        <v>1448</v>
      </c>
      <c r="F35" s="226"/>
      <c r="G35" s="49"/>
      <c r="H35" s="124"/>
      <c r="I35" s="227"/>
      <c r="J35" s="226"/>
      <c r="K35" s="49"/>
      <c r="L35" s="228"/>
      <c r="M35" s="229"/>
      <c r="N35" s="49"/>
      <c r="O35" s="124"/>
      <c r="P35" s="227"/>
      <c r="Q35" s="226"/>
      <c r="R35" s="226"/>
      <c r="S35" s="49"/>
      <c r="T35" s="49"/>
      <c r="U35" s="123"/>
      <c r="V35" s="226">
        <f t="shared" ref="V35" si="31">R35+M35+F35+B35+J35</f>
        <v>0</v>
      </c>
      <c r="W35" s="49">
        <f t="shared" ref="W35" si="32">S35+N35+G35+C35+K35</f>
        <v>1448</v>
      </c>
      <c r="X35" s="123">
        <f t="shared" ref="X35" si="33">T35+Q35+D35</f>
        <v>0</v>
      </c>
      <c r="Y35" s="230">
        <f t="shared" ref="Y35" si="34">SUM(V35:X35)</f>
        <v>1448</v>
      </c>
      <c r="Z35" s="221"/>
    </row>
    <row r="36" spans="1:27" ht="16.5" thickBot="1" x14ac:dyDescent="0.3">
      <c r="A36" s="232" t="s">
        <v>134</v>
      </c>
      <c r="B36" s="135">
        <f>B33+B32+B31+B30+B29+B28+B27+B10</f>
        <v>12159</v>
      </c>
      <c r="C36" s="137">
        <f>C33+C32+C31+C30+C29+C28+C27+C10+C34+C35</f>
        <v>20523.2</v>
      </c>
      <c r="D36" s="137">
        <f>D33+D32+D31+D30+D29+D28+D27+D10+D34</f>
        <v>4735.7999999999993</v>
      </c>
      <c r="E36" s="136">
        <f>E33+E32+E31+E30+E29+E28+E27+E10+E34+E35</f>
        <v>37418</v>
      </c>
      <c r="F36" s="135">
        <f t="shared" ref="F36:V36" si="35">F33+F32+F31+F30+F29+F28+F27+F10</f>
        <v>1363.7</v>
      </c>
      <c r="G36" s="137">
        <f t="shared" si="35"/>
        <v>2375.1000000000004</v>
      </c>
      <c r="H36" s="137">
        <f t="shared" si="35"/>
        <v>0.6</v>
      </c>
      <c r="I36" s="136">
        <f t="shared" si="35"/>
        <v>3739.4</v>
      </c>
      <c r="J36" s="135">
        <f t="shared" si="35"/>
        <v>52.2</v>
      </c>
      <c r="K36" s="137">
        <f t="shared" si="35"/>
        <v>202.7</v>
      </c>
      <c r="L36" s="136">
        <f t="shared" si="35"/>
        <v>254.9</v>
      </c>
      <c r="M36" s="135">
        <f t="shared" si="35"/>
        <v>11858.8</v>
      </c>
      <c r="N36" s="137">
        <f t="shared" si="35"/>
        <v>4099</v>
      </c>
      <c r="O36" s="137">
        <f t="shared" si="35"/>
        <v>22.6</v>
      </c>
      <c r="P36" s="136">
        <f t="shared" si="35"/>
        <v>15980.4</v>
      </c>
      <c r="Q36" s="92">
        <f t="shared" si="35"/>
        <v>190</v>
      </c>
      <c r="R36" s="135">
        <f t="shared" si="35"/>
        <v>30.300000000000004</v>
      </c>
      <c r="S36" s="137">
        <f t="shared" si="35"/>
        <v>1957.6000000000001</v>
      </c>
      <c r="T36" s="137">
        <f t="shared" si="35"/>
        <v>238.1</v>
      </c>
      <c r="U36" s="136">
        <f t="shared" si="35"/>
        <v>2226</v>
      </c>
      <c r="V36" s="135">
        <f t="shared" si="35"/>
        <v>25464.000000000004</v>
      </c>
      <c r="W36" s="137">
        <f>W33+W32+W31+W30+W29+W28+W27+W10+W34+W35</f>
        <v>29157.600000000002</v>
      </c>
      <c r="X36" s="136">
        <f>X33+X32+X31+X30+X29+X28+X27+X10+X34</f>
        <v>5187.1000000000004</v>
      </c>
      <c r="Y36" s="134">
        <f>Y33+Y32+Y31+Y30+Y29+Y28+Y27+Y10+Y34+Y35</f>
        <v>59808.700000000004</v>
      </c>
      <c r="Z36" s="3"/>
      <c r="AA36" s="31"/>
    </row>
    <row r="37" spans="1:27" ht="16.5" thickBot="1" x14ac:dyDescent="0.3">
      <c r="A37" s="232" t="s">
        <v>135</v>
      </c>
      <c r="B37" s="135">
        <f t="shared" ref="B37:Y37" si="36">B36-B35</f>
        <v>12159</v>
      </c>
      <c r="C37" s="137">
        <f t="shared" si="36"/>
        <v>19075.2</v>
      </c>
      <c r="D37" s="137">
        <f t="shared" si="36"/>
        <v>4735.7999999999993</v>
      </c>
      <c r="E37" s="138">
        <f t="shared" si="36"/>
        <v>35970</v>
      </c>
      <c r="F37" s="135">
        <f t="shared" si="36"/>
        <v>1363.7</v>
      </c>
      <c r="G37" s="137">
        <f t="shared" si="36"/>
        <v>2375.1000000000004</v>
      </c>
      <c r="H37" s="137">
        <f t="shared" si="36"/>
        <v>0.6</v>
      </c>
      <c r="I37" s="138">
        <f t="shared" si="36"/>
        <v>3739.4</v>
      </c>
      <c r="J37" s="135">
        <f t="shared" si="36"/>
        <v>52.2</v>
      </c>
      <c r="K37" s="137">
        <f t="shared" si="36"/>
        <v>202.7</v>
      </c>
      <c r="L37" s="138">
        <f t="shared" si="36"/>
        <v>254.9</v>
      </c>
      <c r="M37" s="135">
        <f t="shared" si="36"/>
        <v>11858.8</v>
      </c>
      <c r="N37" s="137">
        <f t="shared" si="36"/>
        <v>4099</v>
      </c>
      <c r="O37" s="137">
        <f t="shared" si="36"/>
        <v>22.6</v>
      </c>
      <c r="P37" s="138">
        <f t="shared" si="36"/>
        <v>15980.4</v>
      </c>
      <c r="Q37" s="135">
        <f t="shared" si="36"/>
        <v>190</v>
      </c>
      <c r="R37" s="135">
        <f t="shared" si="36"/>
        <v>30.300000000000004</v>
      </c>
      <c r="S37" s="137">
        <f t="shared" si="36"/>
        <v>1957.6000000000001</v>
      </c>
      <c r="T37" s="137">
        <f t="shared" si="36"/>
        <v>238.1</v>
      </c>
      <c r="U37" s="138">
        <f t="shared" si="36"/>
        <v>2226</v>
      </c>
      <c r="V37" s="135">
        <f t="shared" si="36"/>
        <v>25464.000000000004</v>
      </c>
      <c r="W37" s="137">
        <f t="shared" si="36"/>
        <v>27709.600000000002</v>
      </c>
      <c r="X37" s="138">
        <f t="shared" si="36"/>
        <v>5187.1000000000004</v>
      </c>
      <c r="Y37" s="134">
        <f t="shared" si="36"/>
        <v>58360.700000000004</v>
      </c>
      <c r="Z37" s="231"/>
      <c r="AA37" s="31"/>
    </row>
    <row r="38" spans="1:27" ht="15.75" thickBot="1" x14ac:dyDescent="0.25">
      <c r="A38" s="185" t="s">
        <v>117</v>
      </c>
      <c r="B38" s="135"/>
      <c r="C38" s="141"/>
      <c r="D38" s="137">
        <v>975.6</v>
      </c>
      <c r="E38" s="138">
        <f>SUM(B38:D38)</f>
        <v>975.6</v>
      </c>
      <c r="F38" s="92"/>
      <c r="G38" s="137"/>
      <c r="H38" s="137"/>
      <c r="I38" s="138"/>
      <c r="J38" s="135"/>
      <c r="K38" s="137"/>
      <c r="L38" s="138"/>
      <c r="M38" s="135"/>
      <c r="N38" s="137"/>
      <c r="O38" s="137"/>
      <c r="P38" s="138"/>
      <c r="Q38" s="135"/>
      <c r="R38" s="135"/>
      <c r="S38" s="141">
        <v>204.7</v>
      </c>
      <c r="T38" s="141">
        <v>110.3</v>
      </c>
      <c r="U38" s="138">
        <f>SUM(R38:T38)</f>
        <v>315</v>
      </c>
      <c r="V38" s="135">
        <f>R38+M38+F38+B38+J38</f>
        <v>0</v>
      </c>
      <c r="W38" s="137">
        <f>S38+N38+G38+C38+K38</f>
        <v>204.7</v>
      </c>
      <c r="X38" s="138">
        <f>T38+Q38+D38</f>
        <v>1085.9000000000001</v>
      </c>
      <c r="Y38" s="134">
        <f>SUM(V38:X38)</f>
        <v>1290.6000000000001</v>
      </c>
      <c r="Z38" s="3"/>
      <c r="AA38" s="31"/>
    </row>
    <row r="39" spans="1:27" ht="15.75" thickBot="1" x14ac:dyDescent="0.25">
      <c r="A39" s="147" t="s">
        <v>86</v>
      </c>
      <c r="B39" s="144"/>
      <c r="C39" s="145"/>
      <c r="D39" s="137">
        <v>1448</v>
      </c>
      <c r="E39" s="146">
        <f>SUM(B39:D39)</f>
        <v>1448</v>
      </c>
      <c r="F39" s="184"/>
      <c r="G39" s="137"/>
      <c r="H39" s="137"/>
      <c r="I39" s="138"/>
      <c r="J39" s="135"/>
      <c r="K39" s="137"/>
      <c r="L39" s="138"/>
      <c r="M39" s="92"/>
      <c r="N39" s="137"/>
      <c r="O39" s="137"/>
      <c r="P39" s="138"/>
      <c r="Q39" s="135"/>
      <c r="R39" s="92"/>
      <c r="S39" s="137"/>
      <c r="T39" s="137"/>
      <c r="U39" s="138"/>
      <c r="V39" s="140">
        <f>R39+M39+F39+B39+J39</f>
        <v>0</v>
      </c>
      <c r="W39" s="141">
        <f>S39+N39+G39+C39+K39</f>
        <v>0</v>
      </c>
      <c r="X39" s="142">
        <f>T39+Q39+D39</f>
        <v>1448</v>
      </c>
      <c r="Y39" s="143">
        <f>SUM(V39:X39)</f>
        <v>1448</v>
      </c>
      <c r="Z39" s="3"/>
      <c r="AA39" s="31"/>
    </row>
    <row r="40" spans="1:27" ht="15.75" thickBot="1" x14ac:dyDescent="0.25">
      <c r="A40" s="148" t="s">
        <v>87</v>
      </c>
      <c r="B40" s="92">
        <f>SUM(B37:B39)</f>
        <v>12159</v>
      </c>
      <c r="C40" s="137">
        <f>SUM(C37:C39)</f>
        <v>19075.2</v>
      </c>
      <c r="D40" s="137">
        <f>SUM(D37:D39)</f>
        <v>7159.4</v>
      </c>
      <c r="E40" s="146">
        <f>SUM(E37:E39)</f>
        <v>38393.599999999999</v>
      </c>
      <c r="F40" s="136">
        <f t="shared" ref="F40:U40" si="37">SUM(F37:F39)</f>
        <v>1363.7</v>
      </c>
      <c r="G40" s="136">
        <f t="shared" si="37"/>
        <v>2375.1000000000004</v>
      </c>
      <c r="H40" s="136">
        <f t="shared" si="37"/>
        <v>0.6</v>
      </c>
      <c r="I40" s="138">
        <f t="shared" si="37"/>
        <v>3739.4</v>
      </c>
      <c r="J40" s="92">
        <f t="shared" si="37"/>
        <v>52.2</v>
      </c>
      <c r="K40" s="136">
        <f t="shared" si="37"/>
        <v>202.7</v>
      </c>
      <c r="L40" s="139">
        <f t="shared" si="37"/>
        <v>254.9</v>
      </c>
      <c r="M40" s="136">
        <f t="shared" si="37"/>
        <v>11858.8</v>
      </c>
      <c r="N40" s="136">
        <f t="shared" si="37"/>
        <v>4099</v>
      </c>
      <c r="O40" s="136">
        <f t="shared" si="37"/>
        <v>22.6</v>
      </c>
      <c r="P40" s="138">
        <f t="shared" si="37"/>
        <v>15980.4</v>
      </c>
      <c r="Q40" s="134">
        <f t="shared" si="37"/>
        <v>190</v>
      </c>
      <c r="R40" s="136">
        <f t="shared" si="37"/>
        <v>30.300000000000004</v>
      </c>
      <c r="S40" s="136">
        <f t="shared" si="37"/>
        <v>2162.3000000000002</v>
      </c>
      <c r="T40" s="136">
        <f t="shared" si="37"/>
        <v>348.4</v>
      </c>
      <c r="U40" s="136">
        <f t="shared" si="37"/>
        <v>2541</v>
      </c>
      <c r="V40" s="135">
        <f>SUM(V37:V39)</f>
        <v>25464.000000000004</v>
      </c>
      <c r="W40" s="137">
        <f>SUM(W37:W39)</f>
        <v>27914.300000000003</v>
      </c>
      <c r="X40" s="136">
        <f>SUM(X37:X39)</f>
        <v>7721</v>
      </c>
      <c r="Y40" s="92">
        <f>SUM(Y37:Y39)</f>
        <v>61099.3</v>
      </c>
      <c r="Z40" s="3"/>
    </row>
    <row r="41" spans="1:27" ht="15" x14ac:dyDescent="0.25">
      <c r="A41" s="2"/>
      <c r="B41" s="3"/>
      <c r="C41" s="3"/>
      <c r="D41" s="3"/>
      <c r="E41" s="3"/>
      <c r="F41" s="2"/>
      <c r="G41" s="3"/>
      <c r="H41" s="3"/>
      <c r="I41" s="3"/>
      <c r="J41" s="3"/>
      <c r="K41" s="3"/>
      <c r="L41" s="3"/>
      <c r="M41" s="2" t="s">
        <v>47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0"/>
      <c r="Y41" s="3"/>
      <c r="Z41" s="3"/>
    </row>
    <row r="42" spans="1:27" ht="15" x14ac:dyDescent="0.25">
      <c r="A42" s="2"/>
      <c r="B42" s="3"/>
      <c r="C42" s="3"/>
      <c r="D42" s="3"/>
      <c r="E42" s="3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7" ht="15" x14ac:dyDescent="0.25">
      <c r="A43" s="2"/>
      <c r="B43" s="2"/>
      <c r="C43" s="2"/>
      <c r="D43" s="2"/>
      <c r="E43" s="2"/>
      <c r="F43" s="2"/>
      <c r="G43" s="2"/>
      <c r="H43" s="2"/>
      <c r="P43" s="3"/>
      <c r="Q43" s="3"/>
      <c r="R43" s="3"/>
      <c r="S43" s="3"/>
      <c r="T43" s="285"/>
      <c r="U43" s="285"/>
      <c r="V43" s="285"/>
      <c r="W43" s="3"/>
      <c r="X43" s="3"/>
      <c r="Y43" s="3"/>
      <c r="Z43" s="3"/>
    </row>
    <row r="44" spans="1:27" ht="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"/>
      <c r="Z44" s="1"/>
    </row>
    <row r="45" spans="1:27" ht="15" x14ac:dyDescent="0.25"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"/>
      <c r="W45" s="2"/>
      <c r="X45" s="2"/>
      <c r="Y45" s="1"/>
      <c r="Z45" s="1"/>
    </row>
    <row r="46" spans="1:27" ht="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"/>
      <c r="Z46" s="1"/>
    </row>
    <row r="47" spans="1:27" ht="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"/>
      <c r="Z47" s="1"/>
    </row>
    <row r="48" spans="1:27" ht="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"/>
      <c r="Z48" s="1"/>
    </row>
    <row r="49" spans="1:26" ht="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"/>
      <c r="Z49" s="1"/>
    </row>
    <row r="50" spans="1:26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"/>
      <c r="Z50" s="1"/>
    </row>
    <row r="51" spans="1:26" ht="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"/>
      <c r="Z51" s="1"/>
    </row>
    <row r="52" spans="1:26" ht="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"/>
      <c r="Z52" s="1"/>
    </row>
    <row r="53" spans="1:26" ht="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"/>
      <c r="Z53" s="1"/>
    </row>
    <row r="54" spans="1:26" ht="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</sheetData>
  <mergeCells count="33">
    <mergeCell ref="M7:P7"/>
    <mergeCell ref="R7:U7"/>
    <mergeCell ref="Y8:Y9"/>
    <mergeCell ref="M8:M9"/>
    <mergeCell ref="U8:U9"/>
    <mergeCell ref="X8:X9"/>
    <mergeCell ref="T43:V43"/>
    <mergeCell ref="J8:J9"/>
    <mergeCell ref="K8:K9"/>
    <mergeCell ref="L8:L9"/>
    <mergeCell ref="S8:S9"/>
    <mergeCell ref="O8:O9"/>
    <mergeCell ref="T8:T9"/>
    <mergeCell ref="V8:V9"/>
    <mergeCell ref="R8:R9"/>
    <mergeCell ref="N8:N9"/>
    <mergeCell ref="P8:P9"/>
    <mergeCell ref="A5:Y5"/>
    <mergeCell ref="B8:B9"/>
    <mergeCell ref="C8:C9"/>
    <mergeCell ref="D8:D9"/>
    <mergeCell ref="E8:E9"/>
    <mergeCell ref="W8:W9"/>
    <mergeCell ref="A7:A9"/>
    <mergeCell ref="F7:I7"/>
    <mergeCell ref="J7:L7"/>
    <mergeCell ref="Q8:Q9"/>
    <mergeCell ref="F8:F9"/>
    <mergeCell ref="G8:G9"/>
    <mergeCell ref="B7:E7"/>
    <mergeCell ref="I8:I9"/>
    <mergeCell ref="H8:H9"/>
    <mergeCell ref="V7:Y7"/>
  </mergeCells>
  <phoneticPr fontId="2" type="noConversion"/>
  <pageMargins left="0" right="0" top="0.31496062992125984" bottom="0.23622047244094491" header="0" footer="0"/>
  <pageSetup paperSize="256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3"/>
  <sheetViews>
    <sheetView tabSelected="1" zoomScale="125" zoomScaleNormal="125" workbookViewId="0">
      <pane xSplit="1" ySplit="9" topLeftCell="B32" activePane="bottomRight" state="frozen"/>
      <selection pane="topRight" activeCell="B1" sqref="B1"/>
      <selection pane="bottomLeft" activeCell="A10" sqref="A10"/>
      <selection pane="bottomRight" activeCell="D2" sqref="D2"/>
    </sheetView>
  </sheetViews>
  <sheetFormatPr defaultRowHeight="12.75" x14ac:dyDescent="0.2"/>
  <cols>
    <col min="1" max="1" width="35.28515625" customWidth="1"/>
    <col min="2" max="2" width="9.7109375" customWidth="1"/>
    <col min="3" max="3" width="10.140625" customWidth="1"/>
    <col min="4" max="4" width="9.28515625" customWidth="1"/>
    <col min="5" max="5" width="9.7109375" customWidth="1"/>
    <col min="6" max="6" width="8.28515625" customWidth="1"/>
    <col min="7" max="7" width="7.85546875" customWidth="1"/>
    <col min="8" max="8" width="8.28515625" customWidth="1"/>
    <col min="9" max="9" width="11.28515625" customWidth="1"/>
    <col min="10" max="10" width="10.140625" customWidth="1"/>
    <col min="11" max="11" width="7.7109375" customWidth="1"/>
    <col min="12" max="12" width="11.140625" customWidth="1"/>
    <col min="14" max="14" width="9.7109375" customWidth="1"/>
    <col min="15" max="15" width="8" customWidth="1"/>
    <col min="16" max="16" width="10.140625" customWidth="1"/>
    <col min="17" max="17" width="10.85546875" customWidth="1"/>
    <col min="18" max="18" width="10.42578125" customWidth="1"/>
    <col min="19" max="19" width="9.5703125" customWidth="1"/>
    <col min="20" max="20" width="11.140625" customWidth="1"/>
  </cols>
  <sheetData>
    <row r="1" spans="1:23" ht="15" x14ac:dyDescent="0.25">
      <c r="O1" s="1" t="s">
        <v>14</v>
      </c>
      <c r="P1" s="1"/>
      <c r="Q1" s="1"/>
      <c r="R1" s="1"/>
      <c r="S1" s="21"/>
      <c r="T1" s="21"/>
      <c r="U1" s="21"/>
      <c r="V1" s="21"/>
      <c r="W1" s="21"/>
    </row>
    <row r="2" spans="1:23" ht="15" x14ac:dyDescent="0.25">
      <c r="O2" s="1" t="s">
        <v>142</v>
      </c>
      <c r="P2" s="1"/>
      <c r="Q2" s="1"/>
      <c r="R2" s="1"/>
      <c r="S2" s="21"/>
      <c r="T2" s="21"/>
      <c r="U2" s="21"/>
      <c r="V2" s="21"/>
      <c r="W2" s="21"/>
    </row>
    <row r="3" spans="1:23" ht="15" x14ac:dyDescent="0.25">
      <c r="O3" s="22" t="s">
        <v>43</v>
      </c>
      <c r="P3" s="1"/>
      <c r="Q3" s="1"/>
      <c r="R3" s="1"/>
      <c r="S3" s="21"/>
      <c r="T3" s="21"/>
      <c r="U3" s="21"/>
      <c r="V3" s="21"/>
      <c r="W3" s="21"/>
    </row>
    <row r="5" spans="1:23" ht="15.75" x14ac:dyDescent="0.25">
      <c r="A5" s="258" t="s">
        <v>138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</row>
    <row r="6" spans="1:23" ht="15.75" thickBot="1" x14ac:dyDescent="0.3">
      <c r="S6" s="1"/>
    </row>
    <row r="7" spans="1:23" ht="28.9" customHeight="1" thickBot="1" x14ac:dyDescent="0.3">
      <c r="A7" s="302" t="s">
        <v>8</v>
      </c>
      <c r="B7" s="311" t="s">
        <v>4</v>
      </c>
      <c r="C7" s="312"/>
      <c r="D7" s="312"/>
      <c r="E7" s="313"/>
      <c r="F7" s="305" t="s">
        <v>39</v>
      </c>
      <c r="G7" s="306"/>
      <c r="H7" s="307"/>
      <c r="I7" s="317" t="s">
        <v>5</v>
      </c>
      <c r="J7" s="299"/>
      <c r="K7" s="318"/>
      <c r="L7" s="300"/>
      <c r="M7" s="314" t="s">
        <v>66</v>
      </c>
      <c r="N7" s="306"/>
      <c r="O7" s="306"/>
      <c r="P7" s="315"/>
      <c r="Q7" s="298" t="s">
        <v>3</v>
      </c>
      <c r="R7" s="299"/>
      <c r="S7" s="299"/>
      <c r="T7" s="300"/>
      <c r="U7" s="1"/>
    </row>
    <row r="8" spans="1:23" ht="15" x14ac:dyDescent="0.25">
      <c r="A8" s="303"/>
      <c r="B8" s="259" t="s">
        <v>1</v>
      </c>
      <c r="C8" s="261" t="s">
        <v>7</v>
      </c>
      <c r="D8" s="282" t="s">
        <v>6</v>
      </c>
      <c r="E8" s="263" t="s">
        <v>3</v>
      </c>
      <c r="F8" s="259" t="s">
        <v>1</v>
      </c>
      <c r="G8" s="261" t="s">
        <v>7</v>
      </c>
      <c r="H8" s="263" t="s">
        <v>3</v>
      </c>
      <c r="I8" s="259" t="s">
        <v>1</v>
      </c>
      <c r="J8" s="261" t="s">
        <v>7</v>
      </c>
      <c r="K8" s="282" t="s">
        <v>6</v>
      </c>
      <c r="L8" s="263" t="s">
        <v>3</v>
      </c>
      <c r="M8" s="259" t="s">
        <v>1</v>
      </c>
      <c r="N8" s="261" t="s">
        <v>7</v>
      </c>
      <c r="O8" s="261" t="s">
        <v>2</v>
      </c>
      <c r="P8" s="263" t="s">
        <v>3</v>
      </c>
      <c r="Q8" s="292" t="s">
        <v>1</v>
      </c>
      <c r="R8" s="261" t="s">
        <v>7</v>
      </c>
      <c r="S8" s="280" t="s">
        <v>2</v>
      </c>
      <c r="T8" s="273" t="s">
        <v>3</v>
      </c>
      <c r="U8" s="1"/>
    </row>
    <row r="9" spans="1:23" ht="31.5" customHeight="1" thickBot="1" x14ac:dyDescent="0.3">
      <c r="A9" s="304"/>
      <c r="B9" s="308"/>
      <c r="C9" s="309"/>
      <c r="D9" s="283"/>
      <c r="E9" s="310"/>
      <c r="F9" s="316"/>
      <c r="G9" s="296"/>
      <c r="H9" s="310"/>
      <c r="I9" s="316"/>
      <c r="J9" s="296"/>
      <c r="K9" s="283"/>
      <c r="L9" s="310"/>
      <c r="M9" s="316"/>
      <c r="N9" s="296"/>
      <c r="O9" s="296"/>
      <c r="P9" s="310"/>
      <c r="Q9" s="301"/>
      <c r="R9" s="296"/>
      <c r="S9" s="297"/>
      <c r="T9" s="295"/>
      <c r="U9" s="1"/>
    </row>
    <row r="10" spans="1:23" ht="19.5" customHeight="1" x14ac:dyDescent="0.25">
      <c r="A10" s="86" t="s">
        <v>9</v>
      </c>
      <c r="B10" s="42">
        <f>115.3+4.3</f>
        <v>119.6</v>
      </c>
      <c r="C10" s="41">
        <f>114.7+1.3</f>
        <v>116</v>
      </c>
      <c r="D10" s="43">
        <v>145</v>
      </c>
      <c r="E10" s="44">
        <f t="shared" ref="E10:E69" si="0">SUM(B10:D10)</f>
        <v>380.6</v>
      </c>
      <c r="F10" s="47"/>
      <c r="G10" s="41"/>
      <c r="H10" s="43"/>
      <c r="I10" s="36">
        <v>945.6</v>
      </c>
      <c r="J10" s="41">
        <v>327.3</v>
      </c>
      <c r="K10" s="43">
        <v>3</v>
      </c>
      <c r="L10" s="14">
        <f>SUM(I10:K10)</f>
        <v>1275.9000000000001</v>
      </c>
      <c r="M10" s="36"/>
      <c r="N10" s="41">
        <v>14.9</v>
      </c>
      <c r="O10" s="41"/>
      <c r="P10" s="37">
        <f t="shared" ref="P10:P64" si="1">SUM(M10:O10)</f>
        <v>14.9</v>
      </c>
      <c r="Q10" s="59">
        <f t="shared" ref="Q10:R15" si="2">M10+I10+F10+B10</f>
        <v>1065.2</v>
      </c>
      <c r="R10" s="51">
        <f t="shared" si="2"/>
        <v>458.2</v>
      </c>
      <c r="S10" s="180">
        <f>O10+D10+K10</f>
        <v>148</v>
      </c>
      <c r="T10" s="79">
        <f t="shared" ref="T10:T64" si="3">SUM(Q10:S10)</f>
        <v>1671.4</v>
      </c>
      <c r="U10" s="1"/>
    </row>
    <row r="11" spans="1:23" ht="16.5" customHeight="1" x14ac:dyDescent="0.25">
      <c r="A11" s="86" t="s">
        <v>10</v>
      </c>
      <c r="B11" s="9">
        <f>112.3+14.6</f>
        <v>126.89999999999999</v>
      </c>
      <c r="C11" s="4">
        <f>133.1+4.5</f>
        <v>137.6</v>
      </c>
      <c r="D11" s="15"/>
      <c r="E11" s="45">
        <f t="shared" si="0"/>
        <v>264.5</v>
      </c>
      <c r="F11" s="11"/>
      <c r="G11" s="4"/>
      <c r="H11" s="15"/>
      <c r="I11" s="9">
        <v>428.9</v>
      </c>
      <c r="J11" s="4">
        <v>148.9</v>
      </c>
      <c r="K11" s="15"/>
      <c r="L11" s="15">
        <f t="shared" ref="L11:L61" si="4">SUM(I11:K11)</f>
        <v>577.79999999999995</v>
      </c>
      <c r="M11" s="9"/>
      <c r="N11" s="4">
        <v>21.8</v>
      </c>
      <c r="O11" s="4"/>
      <c r="P11" s="5">
        <f t="shared" si="1"/>
        <v>21.8</v>
      </c>
      <c r="Q11" s="52">
        <f t="shared" si="2"/>
        <v>555.79999999999995</v>
      </c>
      <c r="R11" s="17">
        <f t="shared" si="2"/>
        <v>308.3</v>
      </c>
      <c r="S11" s="83">
        <f t="shared" ref="S11:S69" si="5">O11+D11+K11</f>
        <v>0</v>
      </c>
      <c r="T11" s="80">
        <f t="shared" si="3"/>
        <v>864.09999999999991</v>
      </c>
      <c r="U11" s="1"/>
    </row>
    <row r="12" spans="1:23" ht="16.5" customHeight="1" x14ac:dyDescent="0.25">
      <c r="A12" s="86" t="s">
        <v>94</v>
      </c>
      <c r="B12" s="9">
        <f>103.2+2.8</f>
        <v>106</v>
      </c>
      <c r="C12" s="4">
        <f>130.6+0.9</f>
        <v>131.5</v>
      </c>
      <c r="D12" s="15">
        <v>10</v>
      </c>
      <c r="E12" s="45">
        <f t="shared" si="0"/>
        <v>247.5</v>
      </c>
      <c r="F12" s="11"/>
      <c r="G12" s="4"/>
      <c r="H12" s="15"/>
      <c r="I12" s="9">
        <v>309.3</v>
      </c>
      <c r="J12" s="4">
        <v>105</v>
      </c>
      <c r="K12" s="15">
        <v>1</v>
      </c>
      <c r="L12" s="15">
        <f t="shared" si="4"/>
        <v>415.3</v>
      </c>
      <c r="M12" s="9"/>
      <c r="N12" s="4">
        <v>7.4</v>
      </c>
      <c r="O12" s="4"/>
      <c r="P12" s="5">
        <f t="shared" si="1"/>
        <v>7.4</v>
      </c>
      <c r="Q12" s="52">
        <f t="shared" si="2"/>
        <v>415.3</v>
      </c>
      <c r="R12" s="17">
        <f t="shared" si="2"/>
        <v>243.9</v>
      </c>
      <c r="S12" s="83">
        <f t="shared" si="5"/>
        <v>11</v>
      </c>
      <c r="T12" s="80">
        <f t="shared" si="3"/>
        <v>670.2</v>
      </c>
      <c r="U12" s="1"/>
    </row>
    <row r="13" spans="1:23" ht="16.5" customHeight="1" x14ac:dyDescent="0.25">
      <c r="A13" s="86" t="s">
        <v>11</v>
      </c>
      <c r="B13" s="9">
        <f>137.2+12.8</f>
        <v>150</v>
      </c>
      <c r="C13" s="4">
        <f>152+4</f>
        <v>156</v>
      </c>
      <c r="D13" s="15">
        <v>30</v>
      </c>
      <c r="E13" s="45">
        <f t="shared" si="0"/>
        <v>336</v>
      </c>
      <c r="F13" s="11"/>
      <c r="G13" s="4"/>
      <c r="H13" s="15"/>
      <c r="I13" s="9">
        <v>643.5</v>
      </c>
      <c r="J13" s="4">
        <v>222.6</v>
      </c>
      <c r="K13" s="15">
        <v>1.4</v>
      </c>
      <c r="L13" s="15">
        <f t="shared" si="4"/>
        <v>867.5</v>
      </c>
      <c r="M13" s="9"/>
      <c r="N13" s="4">
        <v>6.4</v>
      </c>
      <c r="O13" s="4"/>
      <c r="P13" s="5">
        <f t="shared" si="1"/>
        <v>6.4</v>
      </c>
      <c r="Q13" s="52">
        <f t="shared" si="2"/>
        <v>793.5</v>
      </c>
      <c r="R13" s="17">
        <f t="shared" si="2"/>
        <v>385</v>
      </c>
      <c r="S13" s="83">
        <f t="shared" si="5"/>
        <v>31.4</v>
      </c>
      <c r="T13" s="80">
        <f t="shared" si="3"/>
        <v>1209.9000000000001</v>
      </c>
      <c r="U13" s="1"/>
    </row>
    <row r="14" spans="1:23" ht="17.25" customHeight="1" x14ac:dyDescent="0.25">
      <c r="A14" s="87" t="s">
        <v>12</v>
      </c>
      <c r="B14" s="9">
        <v>102.1</v>
      </c>
      <c r="C14" s="4">
        <v>88.7</v>
      </c>
      <c r="D14" s="15"/>
      <c r="E14" s="45">
        <f t="shared" si="0"/>
        <v>190.8</v>
      </c>
      <c r="F14" s="11"/>
      <c r="G14" s="4"/>
      <c r="H14" s="15"/>
      <c r="I14" s="9">
        <v>491.7</v>
      </c>
      <c r="J14" s="4">
        <v>167.1</v>
      </c>
      <c r="K14" s="15">
        <v>2.4</v>
      </c>
      <c r="L14" s="15">
        <f t="shared" si="4"/>
        <v>661.19999999999993</v>
      </c>
      <c r="M14" s="9"/>
      <c r="N14" s="4">
        <v>24.8</v>
      </c>
      <c r="O14" s="4"/>
      <c r="P14" s="5">
        <f t="shared" si="1"/>
        <v>24.8</v>
      </c>
      <c r="Q14" s="52">
        <f t="shared" si="2"/>
        <v>593.79999999999995</v>
      </c>
      <c r="R14" s="17">
        <f t="shared" si="2"/>
        <v>280.60000000000002</v>
      </c>
      <c r="S14" s="83">
        <f t="shared" si="5"/>
        <v>2.4</v>
      </c>
      <c r="T14" s="80">
        <f t="shared" si="3"/>
        <v>876.8</v>
      </c>
      <c r="U14" s="1"/>
    </row>
    <row r="15" spans="1:23" ht="17.25" customHeight="1" x14ac:dyDescent="0.25">
      <c r="A15" s="87" t="s">
        <v>104</v>
      </c>
      <c r="B15" s="9"/>
      <c r="C15" s="4"/>
      <c r="D15" s="15"/>
      <c r="E15" s="45">
        <f t="shared" si="0"/>
        <v>0</v>
      </c>
      <c r="F15" s="11"/>
      <c r="G15" s="4"/>
      <c r="H15" s="15"/>
      <c r="I15" s="9">
        <v>345.9</v>
      </c>
      <c r="J15" s="4">
        <v>118.5</v>
      </c>
      <c r="K15" s="15">
        <v>1.5</v>
      </c>
      <c r="L15" s="15">
        <f t="shared" si="4"/>
        <v>465.9</v>
      </c>
      <c r="M15" s="9"/>
      <c r="N15" s="4">
        <v>0.4</v>
      </c>
      <c r="O15" s="4"/>
      <c r="P15" s="5">
        <f t="shared" si="1"/>
        <v>0.4</v>
      </c>
      <c r="Q15" s="52">
        <f t="shared" si="2"/>
        <v>345.9</v>
      </c>
      <c r="R15" s="17">
        <f t="shared" si="2"/>
        <v>118.9</v>
      </c>
      <c r="S15" s="83">
        <f t="shared" si="5"/>
        <v>1.5</v>
      </c>
      <c r="T15" s="80">
        <f t="shared" si="3"/>
        <v>466.29999999999995</v>
      </c>
      <c r="U15" s="1"/>
    </row>
    <row r="16" spans="1:23" ht="17.25" customHeight="1" x14ac:dyDescent="0.25">
      <c r="A16" s="86" t="s">
        <v>114</v>
      </c>
      <c r="B16" s="9">
        <f>133+15</f>
        <v>148</v>
      </c>
      <c r="C16" s="4">
        <f>181.4+4.7</f>
        <v>186.1</v>
      </c>
      <c r="D16" s="15"/>
      <c r="E16" s="45">
        <f t="shared" si="0"/>
        <v>334.1</v>
      </c>
      <c r="F16" s="11"/>
      <c r="G16" s="4"/>
      <c r="H16" s="15"/>
      <c r="I16" s="9">
        <v>597.5</v>
      </c>
      <c r="J16" s="4">
        <v>207.7</v>
      </c>
      <c r="K16" s="15"/>
      <c r="L16" s="15">
        <f t="shared" si="4"/>
        <v>805.2</v>
      </c>
      <c r="M16" s="9">
        <v>0.3</v>
      </c>
      <c r="N16" s="4">
        <v>4.5</v>
      </c>
      <c r="O16" s="4"/>
      <c r="P16" s="5">
        <f t="shared" si="1"/>
        <v>4.8</v>
      </c>
      <c r="Q16" s="52">
        <f t="shared" ref="Q16:Q47" si="6">M16+I16+F16+B16</f>
        <v>745.8</v>
      </c>
      <c r="R16" s="17">
        <f t="shared" ref="R16:R47" si="7">N16+J16+G16+C16</f>
        <v>398.29999999999995</v>
      </c>
      <c r="S16" s="83">
        <f t="shared" si="5"/>
        <v>0</v>
      </c>
      <c r="T16" s="80">
        <f t="shared" si="3"/>
        <v>1144.0999999999999</v>
      </c>
      <c r="U16" s="1"/>
    </row>
    <row r="17" spans="1:22" ht="16.5" customHeight="1" x14ac:dyDescent="0.25">
      <c r="A17" s="87" t="s">
        <v>95</v>
      </c>
      <c r="B17" s="9">
        <f>89+24.5</f>
        <v>113.5</v>
      </c>
      <c r="C17" s="4">
        <f>86.5+7.6</f>
        <v>94.1</v>
      </c>
      <c r="D17" s="15"/>
      <c r="E17" s="45">
        <f t="shared" si="0"/>
        <v>207.6</v>
      </c>
      <c r="F17" s="11"/>
      <c r="G17" s="4"/>
      <c r="H17" s="15"/>
      <c r="I17" s="9">
        <v>351</v>
      </c>
      <c r="J17" s="4">
        <v>121.4</v>
      </c>
      <c r="K17" s="15"/>
      <c r="L17" s="15">
        <f t="shared" si="4"/>
        <v>472.4</v>
      </c>
      <c r="M17" s="9"/>
      <c r="N17" s="4">
        <v>2.7</v>
      </c>
      <c r="O17" s="4"/>
      <c r="P17" s="5">
        <f t="shared" si="1"/>
        <v>2.7</v>
      </c>
      <c r="Q17" s="52">
        <f t="shared" si="6"/>
        <v>464.5</v>
      </c>
      <c r="R17" s="17">
        <f t="shared" si="7"/>
        <v>218.2</v>
      </c>
      <c r="S17" s="83">
        <f t="shared" si="5"/>
        <v>0</v>
      </c>
      <c r="T17" s="80">
        <f t="shared" si="3"/>
        <v>682.7</v>
      </c>
      <c r="U17" s="1"/>
    </row>
    <row r="18" spans="1:22" ht="18" customHeight="1" x14ac:dyDescent="0.25">
      <c r="A18" s="87" t="s">
        <v>130</v>
      </c>
      <c r="B18" s="46">
        <f>118+2.7</f>
        <v>120.7</v>
      </c>
      <c r="C18" s="12">
        <f>127.9+0.8</f>
        <v>128.70000000000002</v>
      </c>
      <c r="D18" s="19">
        <v>20</v>
      </c>
      <c r="E18" s="45">
        <f t="shared" si="0"/>
        <v>269.40000000000003</v>
      </c>
      <c r="F18" s="11"/>
      <c r="G18" s="4"/>
      <c r="H18" s="15"/>
      <c r="I18" s="9">
        <v>259.60000000000002</v>
      </c>
      <c r="J18" s="4">
        <v>88.7</v>
      </c>
      <c r="K18" s="15">
        <v>1</v>
      </c>
      <c r="L18" s="15">
        <f>SUM(I18:K18)</f>
        <v>349.3</v>
      </c>
      <c r="M18" s="18"/>
      <c r="N18" s="12">
        <v>16.3</v>
      </c>
      <c r="O18" s="12"/>
      <c r="P18" s="5">
        <f t="shared" si="1"/>
        <v>16.3</v>
      </c>
      <c r="Q18" s="52">
        <f t="shared" si="6"/>
        <v>380.3</v>
      </c>
      <c r="R18" s="17">
        <f t="shared" si="7"/>
        <v>233.70000000000002</v>
      </c>
      <c r="S18" s="83">
        <f t="shared" si="5"/>
        <v>21</v>
      </c>
      <c r="T18" s="80">
        <f t="shared" si="3"/>
        <v>635</v>
      </c>
      <c r="U18" s="1"/>
    </row>
    <row r="19" spans="1:22" ht="19.5" customHeight="1" x14ac:dyDescent="0.25">
      <c r="A19" s="87" t="s">
        <v>13</v>
      </c>
      <c r="B19" s="46">
        <f>96+1</f>
        <v>97</v>
      </c>
      <c r="C19" s="12">
        <f>94+0.3</f>
        <v>94.3</v>
      </c>
      <c r="D19" s="19"/>
      <c r="E19" s="45">
        <f t="shared" si="0"/>
        <v>191.3</v>
      </c>
      <c r="F19" s="11"/>
      <c r="G19" s="4"/>
      <c r="H19" s="15"/>
      <c r="I19" s="46">
        <v>518.9</v>
      </c>
      <c r="J19" s="12">
        <v>177.9</v>
      </c>
      <c r="K19" s="19"/>
      <c r="L19" s="15">
        <f t="shared" si="4"/>
        <v>696.8</v>
      </c>
      <c r="M19" s="18"/>
      <c r="N19" s="12">
        <v>9.1999999999999993</v>
      </c>
      <c r="O19" s="12"/>
      <c r="P19" s="5">
        <f t="shared" si="1"/>
        <v>9.1999999999999993</v>
      </c>
      <c r="Q19" s="52">
        <f t="shared" si="6"/>
        <v>615.9</v>
      </c>
      <c r="R19" s="17">
        <f t="shared" si="7"/>
        <v>281.39999999999998</v>
      </c>
      <c r="S19" s="83">
        <f t="shared" si="5"/>
        <v>0</v>
      </c>
      <c r="T19" s="80">
        <f t="shared" si="3"/>
        <v>897.3</v>
      </c>
      <c r="U19" s="1"/>
    </row>
    <row r="20" spans="1:22" ht="21" customHeight="1" x14ac:dyDescent="0.25">
      <c r="A20" s="87" t="s">
        <v>96</v>
      </c>
      <c r="B20" s="46">
        <f>104+6.7</f>
        <v>110.7</v>
      </c>
      <c r="C20" s="12">
        <f>124+2.1</f>
        <v>126.1</v>
      </c>
      <c r="D20" s="19"/>
      <c r="E20" s="45">
        <f t="shared" si="0"/>
        <v>236.8</v>
      </c>
      <c r="F20" s="11"/>
      <c r="G20" s="4"/>
      <c r="H20" s="15"/>
      <c r="I20" s="46">
        <v>264.3</v>
      </c>
      <c r="J20" s="12">
        <v>89</v>
      </c>
      <c r="K20" s="19"/>
      <c r="L20" s="15">
        <f t="shared" si="4"/>
        <v>353.3</v>
      </c>
      <c r="M20" s="18"/>
      <c r="N20" s="12">
        <v>10.6</v>
      </c>
      <c r="O20" s="12"/>
      <c r="P20" s="5">
        <f t="shared" si="1"/>
        <v>10.6</v>
      </c>
      <c r="Q20" s="52">
        <f t="shared" si="6"/>
        <v>375</v>
      </c>
      <c r="R20" s="17">
        <f t="shared" si="7"/>
        <v>225.7</v>
      </c>
      <c r="S20" s="83">
        <f t="shared" si="5"/>
        <v>0</v>
      </c>
      <c r="T20" s="80">
        <f t="shared" si="3"/>
        <v>600.70000000000005</v>
      </c>
      <c r="U20" s="1"/>
    </row>
    <row r="21" spans="1:22" ht="19.5" customHeight="1" x14ac:dyDescent="0.25">
      <c r="A21" s="87" t="s">
        <v>41</v>
      </c>
      <c r="B21" s="46">
        <f>116.5+11</f>
        <v>127.5</v>
      </c>
      <c r="C21" s="12">
        <f>155.3+3.4</f>
        <v>158.70000000000002</v>
      </c>
      <c r="D21" s="19">
        <v>43.8</v>
      </c>
      <c r="E21" s="45">
        <f t="shared" si="0"/>
        <v>330.00000000000006</v>
      </c>
      <c r="F21" s="11"/>
      <c r="G21" s="4"/>
      <c r="H21" s="15"/>
      <c r="I21" s="46">
        <v>477.5</v>
      </c>
      <c r="J21" s="12">
        <v>163.5</v>
      </c>
      <c r="K21" s="19">
        <v>2</v>
      </c>
      <c r="L21" s="15">
        <f t="shared" si="4"/>
        <v>643</v>
      </c>
      <c r="M21" s="18"/>
      <c r="N21" s="12">
        <v>1.8</v>
      </c>
      <c r="O21" s="12"/>
      <c r="P21" s="5">
        <f t="shared" si="1"/>
        <v>1.8</v>
      </c>
      <c r="Q21" s="52">
        <f t="shared" si="6"/>
        <v>605</v>
      </c>
      <c r="R21" s="17">
        <f t="shared" si="7"/>
        <v>324</v>
      </c>
      <c r="S21" s="83">
        <f t="shared" si="5"/>
        <v>45.8</v>
      </c>
      <c r="T21" s="80">
        <f t="shared" si="3"/>
        <v>974.8</v>
      </c>
      <c r="U21" s="1"/>
    </row>
    <row r="22" spans="1:22" ht="24" customHeight="1" x14ac:dyDescent="0.25">
      <c r="A22" s="233" t="s">
        <v>105</v>
      </c>
      <c r="B22" s="46"/>
      <c r="C22" s="12"/>
      <c r="D22" s="19"/>
      <c r="E22" s="45">
        <f t="shared" si="0"/>
        <v>0</v>
      </c>
      <c r="F22" s="11">
        <v>14.6</v>
      </c>
      <c r="G22" s="4">
        <v>5.3</v>
      </c>
      <c r="H22" s="15">
        <f>SUM(F22:G22)</f>
        <v>19.899999999999999</v>
      </c>
      <c r="I22" s="46">
        <v>40</v>
      </c>
      <c r="J22" s="12">
        <v>13.3</v>
      </c>
      <c r="K22" s="19"/>
      <c r="L22" s="15">
        <f t="shared" si="4"/>
        <v>53.3</v>
      </c>
      <c r="M22" s="18"/>
      <c r="N22" s="12"/>
      <c r="O22" s="12"/>
      <c r="P22" s="5">
        <f t="shared" si="1"/>
        <v>0</v>
      </c>
      <c r="Q22" s="52">
        <f t="shared" si="6"/>
        <v>54.6</v>
      </c>
      <c r="R22" s="17">
        <f t="shared" si="7"/>
        <v>18.600000000000001</v>
      </c>
      <c r="S22" s="83">
        <f t="shared" si="5"/>
        <v>0</v>
      </c>
      <c r="T22" s="80">
        <f t="shared" si="3"/>
        <v>73.2</v>
      </c>
      <c r="U22" s="1"/>
    </row>
    <row r="23" spans="1:22" ht="17.25" customHeight="1" x14ac:dyDescent="0.25">
      <c r="A23" s="87" t="s">
        <v>65</v>
      </c>
      <c r="B23" s="9"/>
      <c r="C23" s="4"/>
      <c r="D23" s="4"/>
      <c r="E23" s="45">
        <f t="shared" si="0"/>
        <v>0</v>
      </c>
      <c r="F23" s="11">
        <v>19.3</v>
      </c>
      <c r="G23" s="4">
        <v>6.7</v>
      </c>
      <c r="H23" s="15">
        <f>SUM(F23:G23)</f>
        <v>26</v>
      </c>
      <c r="I23" s="9">
        <v>98.4</v>
      </c>
      <c r="J23" s="4">
        <v>32.5</v>
      </c>
      <c r="K23" s="15"/>
      <c r="L23" s="15">
        <f t="shared" si="4"/>
        <v>130.9</v>
      </c>
      <c r="M23" s="9"/>
      <c r="N23" s="4"/>
      <c r="O23" s="4"/>
      <c r="P23" s="5">
        <f t="shared" si="1"/>
        <v>0</v>
      </c>
      <c r="Q23" s="60">
        <f t="shared" si="6"/>
        <v>117.7</v>
      </c>
      <c r="R23" s="23">
        <f t="shared" si="7"/>
        <v>39.200000000000003</v>
      </c>
      <c r="S23" s="83">
        <f t="shared" si="5"/>
        <v>0</v>
      </c>
      <c r="T23" s="80">
        <f t="shared" si="3"/>
        <v>156.9</v>
      </c>
      <c r="U23" s="1"/>
    </row>
    <row r="24" spans="1:22" ht="17.25" customHeight="1" x14ac:dyDescent="0.25">
      <c r="A24" s="87" t="s">
        <v>48</v>
      </c>
      <c r="B24" s="9">
        <f>79.9+3.6</f>
        <v>83.5</v>
      </c>
      <c r="C24" s="4">
        <f>64.3+1.1</f>
        <v>65.399999999999991</v>
      </c>
      <c r="D24" s="4"/>
      <c r="E24" s="45">
        <f t="shared" si="0"/>
        <v>148.89999999999998</v>
      </c>
      <c r="F24" s="11"/>
      <c r="G24" s="4"/>
      <c r="H24" s="15"/>
      <c r="I24" s="9">
        <v>62.8</v>
      </c>
      <c r="J24" s="4">
        <v>21.7</v>
      </c>
      <c r="K24" s="15"/>
      <c r="L24" s="15">
        <f t="shared" si="4"/>
        <v>84.5</v>
      </c>
      <c r="M24" s="9"/>
      <c r="N24" s="4">
        <v>14.2</v>
      </c>
      <c r="O24" s="4"/>
      <c r="P24" s="5">
        <f t="shared" si="1"/>
        <v>14.2</v>
      </c>
      <c r="Q24" s="60">
        <f t="shared" si="6"/>
        <v>146.30000000000001</v>
      </c>
      <c r="R24" s="23">
        <f t="shared" si="7"/>
        <v>101.29999999999998</v>
      </c>
      <c r="S24" s="83">
        <f t="shared" si="5"/>
        <v>0</v>
      </c>
      <c r="T24" s="80">
        <f t="shared" si="3"/>
        <v>247.6</v>
      </c>
      <c r="U24" s="1"/>
    </row>
    <row r="25" spans="1:22" ht="17.25" customHeight="1" x14ac:dyDescent="0.25">
      <c r="A25" s="87" t="s">
        <v>97</v>
      </c>
      <c r="B25" s="9">
        <f>86.6+5.6</f>
        <v>92.199999999999989</v>
      </c>
      <c r="C25" s="4">
        <f>81.1+1.7</f>
        <v>82.8</v>
      </c>
      <c r="D25" s="4"/>
      <c r="E25" s="45">
        <f t="shared" si="0"/>
        <v>175</v>
      </c>
      <c r="F25" s="11"/>
      <c r="G25" s="4"/>
      <c r="H25" s="15"/>
      <c r="I25" s="9">
        <v>189.3</v>
      </c>
      <c r="J25" s="4">
        <v>64</v>
      </c>
      <c r="K25" s="15"/>
      <c r="L25" s="15">
        <f t="shared" si="4"/>
        <v>253.3</v>
      </c>
      <c r="M25" s="9"/>
      <c r="N25" s="4">
        <v>8</v>
      </c>
      <c r="O25" s="4"/>
      <c r="P25" s="5">
        <f t="shared" si="1"/>
        <v>8</v>
      </c>
      <c r="Q25" s="60">
        <f t="shared" si="6"/>
        <v>281.5</v>
      </c>
      <c r="R25" s="23">
        <f t="shared" si="7"/>
        <v>154.80000000000001</v>
      </c>
      <c r="S25" s="83">
        <f t="shared" si="5"/>
        <v>0</v>
      </c>
      <c r="T25" s="80">
        <f t="shared" si="3"/>
        <v>436.3</v>
      </c>
      <c r="U25" s="1"/>
    </row>
    <row r="26" spans="1:22" ht="17.25" customHeight="1" x14ac:dyDescent="0.25">
      <c r="A26" s="234" t="s">
        <v>98</v>
      </c>
      <c r="B26" s="9">
        <f>243.7+3.1</f>
        <v>246.79999999999998</v>
      </c>
      <c r="C26" s="4">
        <f>205.6+0.9</f>
        <v>206.5</v>
      </c>
      <c r="D26" s="125"/>
      <c r="E26" s="45">
        <f t="shared" si="0"/>
        <v>453.29999999999995</v>
      </c>
      <c r="F26" s="128"/>
      <c r="G26" s="125"/>
      <c r="H26" s="129"/>
      <c r="I26" s="9">
        <v>687.7</v>
      </c>
      <c r="J26" s="4">
        <v>236.2</v>
      </c>
      <c r="K26" s="15">
        <v>5</v>
      </c>
      <c r="L26" s="15">
        <f t="shared" si="4"/>
        <v>928.90000000000009</v>
      </c>
      <c r="M26" s="181"/>
      <c r="N26" s="4">
        <v>59.3</v>
      </c>
      <c r="O26" s="34"/>
      <c r="P26" s="5">
        <f t="shared" si="1"/>
        <v>59.3</v>
      </c>
      <c r="Q26" s="60">
        <f t="shared" si="6"/>
        <v>934.5</v>
      </c>
      <c r="R26" s="23">
        <f t="shared" si="7"/>
        <v>502</v>
      </c>
      <c r="S26" s="83">
        <f t="shared" si="5"/>
        <v>5</v>
      </c>
      <c r="T26" s="80">
        <f t="shared" si="3"/>
        <v>1441.5</v>
      </c>
      <c r="U26" s="1"/>
    </row>
    <row r="27" spans="1:22" ht="18" customHeight="1" x14ac:dyDescent="0.25">
      <c r="A27" s="86" t="s">
        <v>99</v>
      </c>
      <c r="B27" s="107">
        <v>142.9</v>
      </c>
      <c r="C27" s="23">
        <v>127.3</v>
      </c>
      <c r="D27" s="23">
        <v>235</v>
      </c>
      <c r="E27" s="45">
        <f t="shared" si="0"/>
        <v>505.2</v>
      </c>
      <c r="F27" s="130"/>
      <c r="G27" s="131"/>
      <c r="H27" s="129"/>
      <c r="I27" s="107">
        <v>1007.9</v>
      </c>
      <c r="J27" s="23">
        <v>353.5</v>
      </c>
      <c r="K27" s="83">
        <v>2</v>
      </c>
      <c r="L27" s="15">
        <f t="shared" si="4"/>
        <v>1363.4</v>
      </c>
      <c r="M27" s="182"/>
      <c r="N27" s="23">
        <v>6.1</v>
      </c>
      <c r="O27" s="23"/>
      <c r="P27" s="5">
        <f t="shared" si="1"/>
        <v>6.1</v>
      </c>
      <c r="Q27" s="60">
        <f t="shared" si="6"/>
        <v>1150.8</v>
      </c>
      <c r="R27" s="23">
        <f t="shared" si="7"/>
        <v>486.90000000000003</v>
      </c>
      <c r="S27" s="83">
        <f t="shared" si="5"/>
        <v>237</v>
      </c>
      <c r="T27" s="80">
        <f t="shared" si="3"/>
        <v>1874.7</v>
      </c>
    </row>
    <row r="28" spans="1:22" ht="18.75" customHeight="1" x14ac:dyDescent="0.25">
      <c r="A28" s="86" t="s">
        <v>49</v>
      </c>
      <c r="B28" s="107">
        <f>6.8+3.5</f>
        <v>10.3</v>
      </c>
      <c r="C28" s="23">
        <f>22.7+1.1</f>
        <v>23.8</v>
      </c>
      <c r="D28" s="23">
        <v>60</v>
      </c>
      <c r="E28" s="45">
        <f t="shared" si="0"/>
        <v>94.1</v>
      </c>
      <c r="F28" s="40"/>
      <c r="G28" s="39"/>
      <c r="H28" s="15"/>
      <c r="I28" s="107">
        <v>56.6</v>
      </c>
      <c r="J28" s="23">
        <v>18.8</v>
      </c>
      <c r="K28" s="83"/>
      <c r="L28" s="15">
        <f t="shared" si="4"/>
        <v>75.400000000000006</v>
      </c>
      <c r="M28" s="38">
        <v>1.3</v>
      </c>
      <c r="N28" s="23">
        <v>0.5</v>
      </c>
      <c r="O28" s="23"/>
      <c r="P28" s="5">
        <f t="shared" si="1"/>
        <v>1.8</v>
      </c>
      <c r="Q28" s="60">
        <f t="shared" si="6"/>
        <v>68.2</v>
      </c>
      <c r="R28" s="23">
        <f t="shared" si="7"/>
        <v>43.1</v>
      </c>
      <c r="S28" s="83">
        <f t="shared" si="5"/>
        <v>60</v>
      </c>
      <c r="T28" s="80">
        <f t="shared" si="3"/>
        <v>171.3</v>
      </c>
    </row>
    <row r="29" spans="1:22" ht="18.75" customHeight="1" x14ac:dyDescent="0.25">
      <c r="A29" s="235" t="s">
        <v>100</v>
      </c>
      <c r="B29" s="107">
        <f>111.1+2.9</f>
        <v>114</v>
      </c>
      <c r="C29" s="23">
        <f>104.2+0.9</f>
        <v>105.10000000000001</v>
      </c>
      <c r="D29" s="23"/>
      <c r="E29" s="45">
        <f t="shared" si="0"/>
        <v>219.10000000000002</v>
      </c>
      <c r="F29" s="35"/>
      <c r="G29" s="33"/>
      <c r="H29" s="15"/>
      <c r="I29" s="107">
        <v>189</v>
      </c>
      <c r="J29" s="23">
        <v>64.7</v>
      </c>
      <c r="K29" s="83"/>
      <c r="L29" s="15">
        <f t="shared" si="4"/>
        <v>253.7</v>
      </c>
      <c r="M29" s="38"/>
      <c r="N29" s="23">
        <v>16.5</v>
      </c>
      <c r="O29" s="23"/>
      <c r="P29" s="5">
        <f t="shared" si="1"/>
        <v>16.5</v>
      </c>
      <c r="Q29" s="60">
        <f t="shared" si="6"/>
        <v>303</v>
      </c>
      <c r="R29" s="23">
        <f t="shared" si="7"/>
        <v>186.3</v>
      </c>
      <c r="S29" s="83">
        <f t="shared" si="5"/>
        <v>0</v>
      </c>
      <c r="T29" s="80">
        <f t="shared" si="3"/>
        <v>489.3</v>
      </c>
      <c r="U29" s="1"/>
      <c r="V29" s="1"/>
    </row>
    <row r="30" spans="1:22" ht="18.75" customHeight="1" x14ac:dyDescent="0.25">
      <c r="A30" s="235" t="s">
        <v>50</v>
      </c>
      <c r="B30" s="107">
        <f>124.4+26.8</f>
        <v>151.20000000000002</v>
      </c>
      <c r="C30" s="23">
        <f>101.8+8.3</f>
        <v>110.1</v>
      </c>
      <c r="D30" s="23"/>
      <c r="E30" s="45">
        <f t="shared" si="0"/>
        <v>261.3</v>
      </c>
      <c r="F30" s="40"/>
      <c r="G30" s="39"/>
      <c r="H30" s="15"/>
      <c r="I30" s="107">
        <v>344.8</v>
      </c>
      <c r="J30" s="23">
        <v>117.2</v>
      </c>
      <c r="K30" s="83">
        <v>2.1</v>
      </c>
      <c r="L30" s="15">
        <f t="shared" si="4"/>
        <v>464.1</v>
      </c>
      <c r="M30" s="182"/>
      <c r="N30" s="23">
        <v>17.899999999999999</v>
      </c>
      <c r="O30" s="23">
        <v>1</v>
      </c>
      <c r="P30" s="5">
        <f t="shared" si="1"/>
        <v>18.899999999999999</v>
      </c>
      <c r="Q30" s="60">
        <f t="shared" si="6"/>
        <v>496</v>
      </c>
      <c r="R30" s="23">
        <f t="shared" si="7"/>
        <v>245.2</v>
      </c>
      <c r="S30" s="83">
        <f t="shared" si="5"/>
        <v>3.1</v>
      </c>
      <c r="T30" s="80">
        <f t="shared" si="3"/>
        <v>744.30000000000007</v>
      </c>
    </row>
    <row r="31" spans="1:22" ht="19.5" customHeight="1" x14ac:dyDescent="0.25">
      <c r="A31" s="236" t="s">
        <v>51</v>
      </c>
      <c r="B31" s="107">
        <v>72.5</v>
      </c>
      <c r="C31" s="23">
        <v>69.900000000000006</v>
      </c>
      <c r="D31" s="23"/>
      <c r="E31" s="45">
        <f t="shared" si="0"/>
        <v>142.4</v>
      </c>
      <c r="F31" s="40"/>
      <c r="G31" s="39"/>
      <c r="H31" s="15"/>
      <c r="I31" s="107">
        <v>135.6</v>
      </c>
      <c r="J31" s="23">
        <v>46</v>
      </c>
      <c r="K31" s="83"/>
      <c r="L31" s="15">
        <f t="shared" si="4"/>
        <v>181.6</v>
      </c>
      <c r="M31" s="182"/>
      <c r="N31" s="23">
        <v>14.7</v>
      </c>
      <c r="O31" s="23">
        <v>0.5</v>
      </c>
      <c r="P31" s="5">
        <f t="shared" si="1"/>
        <v>15.2</v>
      </c>
      <c r="Q31" s="60">
        <f t="shared" si="6"/>
        <v>208.1</v>
      </c>
      <c r="R31" s="23">
        <f t="shared" si="7"/>
        <v>130.60000000000002</v>
      </c>
      <c r="S31" s="83">
        <f t="shared" si="5"/>
        <v>0.5</v>
      </c>
      <c r="T31" s="80">
        <f t="shared" si="3"/>
        <v>339.20000000000005</v>
      </c>
    </row>
    <row r="32" spans="1:22" ht="18.75" customHeight="1" x14ac:dyDescent="0.25">
      <c r="A32" s="236" t="s">
        <v>52</v>
      </c>
      <c r="B32" s="107">
        <f>73+8.6</f>
        <v>81.599999999999994</v>
      </c>
      <c r="C32" s="23">
        <f>53.7+2.7</f>
        <v>56.400000000000006</v>
      </c>
      <c r="D32" s="23">
        <v>30</v>
      </c>
      <c r="E32" s="45">
        <f t="shared" si="0"/>
        <v>168</v>
      </c>
      <c r="F32" s="40"/>
      <c r="G32" s="39"/>
      <c r="H32" s="15"/>
      <c r="I32" s="107">
        <v>206.8</v>
      </c>
      <c r="J32" s="23">
        <v>70.3</v>
      </c>
      <c r="K32" s="83">
        <v>0.6</v>
      </c>
      <c r="L32" s="15">
        <f t="shared" si="4"/>
        <v>277.70000000000005</v>
      </c>
      <c r="M32" s="182"/>
      <c r="N32" s="23">
        <v>6.2</v>
      </c>
      <c r="O32" s="23"/>
      <c r="P32" s="5">
        <f t="shared" si="1"/>
        <v>6.2</v>
      </c>
      <c r="Q32" s="60">
        <f t="shared" si="6"/>
        <v>288.39999999999998</v>
      </c>
      <c r="R32" s="23">
        <f t="shared" si="7"/>
        <v>132.9</v>
      </c>
      <c r="S32" s="83">
        <f t="shared" si="5"/>
        <v>30.6</v>
      </c>
      <c r="T32" s="80">
        <f t="shared" si="3"/>
        <v>451.9</v>
      </c>
    </row>
    <row r="33" spans="1:20" ht="18.75" customHeight="1" x14ac:dyDescent="0.25">
      <c r="A33" s="236" t="s">
        <v>53</v>
      </c>
      <c r="B33" s="107">
        <f>99.1+3.2</f>
        <v>102.3</v>
      </c>
      <c r="C33" s="23">
        <f>103.2+1</f>
        <v>104.2</v>
      </c>
      <c r="D33" s="23">
        <v>100</v>
      </c>
      <c r="E33" s="45">
        <f t="shared" si="0"/>
        <v>306.5</v>
      </c>
      <c r="F33" s="40"/>
      <c r="G33" s="39"/>
      <c r="H33" s="15"/>
      <c r="I33" s="107">
        <v>229.1</v>
      </c>
      <c r="J33" s="23">
        <v>78.900000000000006</v>
      </c>
      <c r="K33" s="83"/>
      <c r="L33" s="15">
        <f t="shared" si="4"/>
        <v>308</v>
      </c>
      <c r="M33" s="107">
        <v>1</v>
      </c>
      <c r="N33" s="23">
        <v>14.3</v>
      </c>
      <c r="O33" s="23"/>
      <c r="P33" s="5">
        <f t="shared" si="1"/>
        <v>15.3</v>
      </c>
      <c r="Q33" s="60">
        <f t="shared" si="6"/>
        <v>332.4</v>
      </c>
      <c r="R33" s="23">
        <f t="shared" si="7"/>
        <v>197.4</v>
      </c>
      <c r="S33" s="83">
        <f t="shared" si="5"/>
        <v>100</v>
      </c>
      <c r="T33" s="80">
        <f t="shared" si="3"/>
        <v>629.79999999999995</v>
      </c>
    </row>
    <row r="34" spans="1:20" ht="16.5" customHeight="1" x14ac:dyDescent="0.25">
      <c r="A34" s="236" t="s">
        <v>55</v>
      </c>
      <c r="B34" s="107">
        <v>84</v>
      </c>
      <c r="C34" s="23">
        <v>76</v>
      </c>
      <c r="D34" s="23"/>
      <c r="E34" s="45">
        <f t="shared" si="0"/>
        <v>160</v>
      </c>
      <c r="F34" s="40"/>
      <c r="G34" s="39"/>
      <c r="H34" s="15"/>
      <c r="I34" s="107">
        <v>84.6</v>
      </c>
      <c r="J34" s="23">
        <v>29.2</v>
      </c>
      <c r="K34" s="83"/>
      <c r="L34" s="15">
        <f t="shared" si="4"/>
        <v>113.8</v>
      </c>
      <c r="M34" s="182"/>
      <c r="N34" s="23">
        <v>22.2</v>
      </c>
      <c r="O34" s="23"/>
      <c r="P34" s="5">
        <f t="shared" si="1"/>
        <v>22.2</v>
      </c>
      <c r="Q34" s="60">
        <f t="shared" si="6"/>
        <v>168.6</v>
      </c>
      <c r="R34" s="23">
        <f t="shared" si="7"/>
        <v>127.4</v>
      </c>
      <c r="S34" s="83">
        <f t="shared" si="5"/>
        <v>0</v>
      </c>
      <c r="T34" s="80">
        <f t="shared" si="3"/>
        <v>296</v>
      </c>
    </row>
    <row r="35" spans="1:20" ht="15.75" x14ac:dyDescent="0.25">
      <c r="A35" s="236" t="s">
        <v>56</v>
      </c>
      <c r="B35" s="107">
        <v>76.5</v>
      </c>
      <c r="C35" s="23">
        <v>48.3</v>
      </c>
      <c r="D35" s="23"/>
      <c r="E35" s="45">
        <f t="shared" si="0"/>
        <v>124.8</v>
      </c>
      <c r="F35" s="40"/>
      <c r="G35" s="39"/>
      <c r="H35" s="15"/>
      <c r="I35" s="107">
        <v>70.3</v>
      </c>
      <c r="J35" s="23">
        <v>23.9</v>
      </c>
      <c r="K35" s="83">
        <v>0.6</v>
      </c>
      <c r="L35" s="15">
        <f t="shared" si="4"/>
        <v>94.799999999999983</v>
      </c>
      <c r="M35" s="182"/>
      <c r="N35" s="23">
        <v>26.3</v>
      </c>
      <c r="O35" s="23"/>
      <c r="P35" s="5">
        <f t="shared" si="1"/>
        <v>26.3</v>
      </c>
      <c r="Q35" s="60">
        <f t="shared" si="6"/>
        <v>146.80000000000001</v>
      </c>
      <c r="R35" s="23">
        <f t="shared" si="7"/>
        <v>98.5</v>
      </c>
      <c r="S35" s="83">
        <f t="shared" si="5"/>
        <v>0.6</v>
      </c>
      <c r="T35" s="80">
        <f t="shared" si="3"/>
        <v>245.9</v>
      </c>
    </row>
    <row r="36" spans="1:20" ht="15" x14ac:dyDescent="0.25">
      <c r="A36" s="237" t="s">
        <v>111</v>
      </c>
      <c r="B36" s="107">
        <v>106.1</v>
      </c>
      <c r="C36" s="23">
        <v>79.599999999999994</v>
      </c>
      <c r="D36" s="23"/>
      <c r="E36" s="45">
        <f t="shared" si="0"/>
        <v>185.7</v>
      </c>
      <c r="F36" s="40"/>
      <c r="G36" s="39"/>
      <c r="H36" s="15"/>
      <c r="I36" s="107">
        <v>266.89999999999998</v>
      </c>
      <c r="J36" s="23">
        <v>95.4</v>
      </c>
      <c r="K36" s="83"/>
      <c r="L36" s="15">
        <f t="shared" si="4"/>
        <v>362.29999999999995</v>
      </c>
      <c r="M36" s="182"/>
      <c r="N36" s="23">
        <v>58.3</v>
      </c>
      <c r="O36" s="23">
        <v>2</v>
      </c>
      <c r="P36" s="5">
        <f t="shared" si="1"/>
        <v>60.3</v>
      </c>
      <c r="Q36" s="60">
        <f t="shared" si="6"/>
        <v>373</v>
      </c>
      <c r="R36" s="23">
        <f t="shared" si="7"/>
        <v>233.29999999999998</v>
      </c>
      <c r="S36" s="83">
        <f t="shared" si="5"/>
        <v>2</v>
      </c>
      <c r="T36" s="80">
        <f t="shared" si="3"/>
        <v>608.29999999999995</v>
      </c>
    </row>
    <row r="37" spans="1:20" ht="15.75" x14ac:dyDescent="0.25">
      <c r="A37" s="236" t="s">
        <v>141</v>
      </c>
      <c r="B37" s="107">
        <v>50.3</v>
      </c>
      <c r="C37" s="23">
        <v>50.1</v>
      </c>
      <c r="D37" s="23"/>
      <c r="E37" s="45">
        <f>SUM(B37:D37)</f>
        <v>100.4</v>
      </c>
      <c r="F37" s="40"/>
      <c r="G37" s="39"/>
      <c r="H37" s="15"/>
      <c r="I37" s="107">
        <v>85.3</v>
      </c>
      <c r="J37" s="23">
        <v>29.3</v>
      </c>
      <c r="K37" s="83"/>
      <c r="L37" s="15">
        <f>SUM(I37:K37)</f>
        <v>114.6</v>
      </c>
      <c r="M37" s="182"/>
      <c r="N37" s="23">
        <v>12.9</v>
      </c>
      <c r="O37" s="23">
        <v>0.6</v>
      </c>
      <c r="P37" s="5">
        <f>SUM(M37:O37)</f>
        <v>13.5</v>
      </c>
      <c r="Q37" s="60">
        <f t="shared" ref="Q37" si="8">M37+I37+F37+B37</f>
        <v>135.6</v>
      </c>
      <c r="R37" s="23">
        <f t="shared" ref="R37" si="9">N37+J37+G37+C37</f>
        <v>92.300000000000011</v>
      </c>
      <c r="S37" s="83">
        <f t="shared" ref="S37" si="10">O37+D37+K37</f>
        <v>0.6</v>
      </c>
      <c r="T37" s="80">
        <f t="shared" ref="T37" si="11">SUM(Q37:S37)</f>
        <v>228.5</v>
      </c>
    </row>
    <row r="38" spans="1:20" ht="15.75" x14ac:dyDescent="0.25">
      <c r="A38" s="236" t="s">
        <v>54</v>
      </c>
      <c r="B38" s="107">
        <v>110.9</v>
      </c>
      <c r="C38" s="23">
        <v>103.4</v>
      </c>
      <c r="D38" s="23"/>
      <c r="E38" s="45">
        <f t="shared" si="0"/>
        <v>214.3</v>
      </c>
      <c r="F38" s="40"/>
      <c r="G38" s="39"/>
      <c r="H38" s="15"/>
      <c r="I38" s="107">
        <v>277.39999999999998</v>
      </c>
      <c r="J38" s="23">
        <v>99.3</v>
      </c>
      <c r="K38" s="83"/>
      <c r="L38" s="15">
        <f t="shared" si="4"/>
        <v>376.7</v>
      </c>
      <c r="M38" s="182"/>
      <c r="N38" s="23">
        <v>74.599999999999994</v>
      </c>
      <c r="O38" s="23">
        <v>16</v>
      </c>
      <c r="P38" s="5">
        <f t="shared" si="1"/>
        <v>90.6</v>
      </c>
      <c r="Q38" s="60">
        <f t="shared" si="6"/>
        <v>388.29999999999995</v>
      </c>
      <c r="R38" s="23">
        <f t="shared" si="7"/>
        <v>277.29999999999995</v>
      </c>
      <c r="S38" s="83">
        <f t="shared" si="5"/>
        <v>16</v>
      </c>
      <c r="T38" s="80">
        <f t="shared" si="3"/>
        <v>681.59999999999991</v>
      </c>
    </row>
    <row r="39" spans="1:20" ht="15.75" x14ac:dyDescent="0.25">
      <c r="A39" s="236" t="s">
        <v>101</v>
      </c>
      <c r="B39" s="107">
        <v>117.4</v>
      </c>
      <c r="C39" s="23">
        <v>77.7</v>
      </c>
      <c r="D39" s="23"/>
      <c r="E39" s="45">
        <f t="shared" si="0"/>
        <v>195.10000000000002</v>
      </c>
      <c r="F39" s="40"/>
      <c r="G39" s="39"/>
      <c r="H39" s="15"/>
      <c r="I39" s="107">
        <v>83.4</v>
      </c>
      <c r="J39" s="23">
        <v>29.8</v>
      </c>
      <c r="K39" s="83"/>
      <c r="L39" s="15">
        <f>SUM(I39:K39)</f>
        <v>113.2</v>
      </c>
      <c r="M39" s="182"/>
      <c r="N39" s="23">
        <v>42.4</v>
      </c>
      <c r="O39" s="23"/>
      <c r="P39" s="5">
        <f t="shared" si="1"/>
        <v>42.4</v>
      </c>
      <c r="Q39" s="60">
        <f t="shared" si="6"/>
        <v>200.8</v>
      </c>
      <c r="R39" s="23">
        <f t="shared" si="7"/>
        <v>149.9</v>
      </c>
      <c r="S39" s="83">
        <f t="shared" si="5"/>
        <v>0</v>
      </c>
      <c r="T39" s="80">
        <f t="shared" si="3"/>
        <v>350.70000000000005</v>
      </c>
    </row>
    <row r="40" spans="1:20" ht="15.75" x14ac:dyDescent="0.25">
      <c r="A40" s="236" t="s">
        <v>106</v>
      </c>
      <c r="B40" s="107">
        <v>24.4</v>
      </c>
      <c r="C40" s="23">
        <v>23.7</v>
      </c>
      <c r="D40" s="23"/>
      <c r="E40" s="45">
        <f t="shared" si="0"/>
        <v>48.099999999999994</v>
      </c>
      <c r="F40" s="40"/>
      <c r="G40" s="39"/>
      <c r="H40" s="15"/>
      <c r="I40" s="107">
        <v>12.1</v>
      </c>
      <c r="J40" s="23">
        <v>4.4000000000000004</v>
      </c>
      <c r="K40" s="83"/>
      <c r="L40" s="15">
        <f t="shared" si="4"/>
        <v>16.5</v>
      </c>
      <c r="M40" s="182"/>
      <c r="N40" s="23">
        <v>4.3</v>
      </c>
      <c r="O40" s="23"/>
      <c r="P40" s="5">
        <f t="shared" si="1"/>
        <v>4.3</v>
      </c>
      <c r="Q40" s="60">
        <f t="shared" si="6"/>
        <v>36.5</v>
      </c>
      <c r="R40" s="23">
        <f t="shared" si="7"/>
        <v>32.4</v>
      </c>
      <c r="S40" s="83">
        <f t="shared" si="5"/>
        <v>0</v>
      </c>
      <c r="T40" s="80">
        <f t="shared" si="3"/>
        <v>68.900000000000006</v>
      </c>
    </row>
    <row r="41" spans="1:20" ht="15.75" x14ac:dyDescent="0.25">
      <c r="A41" s="236" t="s">
        <v>93</v>
      </c>
      <c r="B41" s="107">
        <v>114.8</v>
      </c>
      <c r="C41" s="23">
        <v>66.5</v>
      </c>
      <c r="D41" s="23"/>
      <c r="E41" s="45">
        <f t="shared" si="0"/>
        <v>181.3</v>
      </c>
      <c r="F41" s="40"/>
      <c r="G41" s="39"/>
      <c r="H41" s="15"/>
      <c r="I41" s="107">
        <v>101.8</v>
      </c>
      <c r="J41" s="23">
        <v>36.6</v>
      </c>
      <c r="K41" s="83"/>
      <c r="L41" s="15">
        <f t="shared" si="4"/>
        <v>138.4</v>
      </c>
      <c r="M41" s="182"/>
      <c r="N41" s="23">
        <v>52.3</v>
      </c>
      <c r="O41" s="23"/>
      <c r="P41" s="5">
        <f t="shared" si="1"/>
        <v>52.3</v>
      </c>
      <c r="Q41" s="60">
        <f t="shared" si="6"/>
        <v>216.6</v>
      </c>
      <c r="R41" s="23">
        <f t="shared" si="7"/>
        <v>155.4</v>
      </c>
      <c r="S41" s="83">
        <f t="shared" si="5"/>
        <v>0</v>
      </c>
      <c r="T41" s="80">
        <f t="shared" si="3"/>
        <v>372</v>
      </c>
    </row>
    <row r="42" spans="1:20" ht="15.75" x14ac:dyDescent="0.25">
      <c r="A42" s="238" t="s">
        <v>107</v>
      </c>
      <c r="B42" s="207">
        <v>70.400000000000006</v>
      </c>
      <c r="C42" s="24">
        <v>50</v>
      </c>
      <c r="D42" s="24"/>
      <c r="E42" s="71">
        <f t="shared" si="0"/>
        <v>120.4</v>
      </c>
      <c r="F42" s="208"/>
      <c r="G42" s="209"/>
      <c r="H42" s="19"/>
      <c r="I42" s="207">
        <v>49.5</v>
      </c>
      <c r="J42" s="24">
        <v>17.7</v>
      </c>
      <c r="K42" s="210"/>
      <c r="L42" s="19">
        <f t="shared" si="4"/>
        <v>67.2</v>
      </c>
      <c r="M42" s="211"/>
      <c r="N42" s="24">
        <v>23.5</v>
      </c>
      <c r="O42" s="24"/>
      <c r="P42" s="13">
        <f t="shared" si="1"/>
        <v>23.5</v>
      </c>
      <c r="Q42" s="61">
        <f t="shared" si="6"/>
        <v>119.9</v>
      </c>
      <c r="R42" s="24">
        <f t="shared" si="7"/>
        <v>91.2</v>
      </c>
      <c r="S42" s="210">
        <f t="shared" si="5"/>
        <v>0</v>
      </c>
      <c r="T42" s="84">
        <f t="shared" si="3"/>
        <v>211.10000000000002</v>
      </c>
    </row>
    <row r="43" spans="1:20" ht="15.75" x14ac:dyDescent="0.25">
      <c r="A43" s="236" t="s">
        <v>92</v>
      </c>
      <c r="B43" s="107">
        <v>85.1</v>
      </c>
      <c r="C43" s="23">
        <v>57.7</v>
      </c>
      <c r="D43" s="23"/>
      <c r="E43" s="45">
        <f t="shared" si="0"/>
        <v>142.80000000000001</v>
      </c>
      <c r="F43" s="40"/>
      <c r="G43" s="39"/>
      <c r="H43" s="15"/>
      <c r="I43" s="107">
        <v>56.5</v>
      </c>
      <c r="J43" s="23">
        <v>20.3</v>
      </c>
      <c r="K43" s="83"/>
      <c r="L43" s="15">
        <f t="shared" si="4"/>
        <v>76.8</v>
      </c>
      <c r="M43" s="182"/>
      <c r="N43" s="23">
        <v>27.1</v>
      </c>
      <c r="O43" s="23"/>
      <c r="P43" s="5">
        <f t="shared" si="1"/>
        <v>27.1</v>
      </c>
      <c r="Q43" s="60">
        <f t="shared" si="6"/>
        <v>141.6</v>
      </c>
      <c r="R43" s="23">
        <f t="shared" si="7"/>
        <v>105.10000000000001</v>
      </c>
      <c r="S43" s="83">
        <f t="shared" si="5"/>
        <v>0</v>
      </c>
      <c r="T43" s="80">
        <f t="shared" si="3"/>
        <v>246.7</v>
      </c>
    </row>
    <row r="44" spans="1:20" ht="15.75" x14ac:dyDescent="0.25">
      <c r="A44" s="239" t="s">
        <v>90</v>
      </c>
      <c r="B44" s="16">
        <v>146.9</v>
      </c>
      <c r="C44" s="17">
        <v>85.3</v>
      </c>
      <c r="D44" s="17"/>
      <c r="E44" s="48">
        <f t="shared" si="0"/>
        <v>232.2</v>
      </c>
      <c r="F44" s="149"/>
      <c r="G44" s="150"/>
      <c r="H44" s="14"/>
      <c r="I44" s="16">
        <v>162.19999999999999</v>
      </c>
      <c r="J44" s="17">
        <v>58.4</v>
      </c>
      <c r="K44" s="78"/>
      <c r="L44" s="14">
        <f t="shared" si="4"/>
        <v>220.6</v>
      </c>
      <c r="M44" s="183"/>
      <c r="N44" s="17">
        <v>87.3</v>
      </c>
      <c r="O44" s="17">
        <v>3</v>
      </c>
      <c r="P44" s="8">
        <f t="shared" si="1"/>
        <v>90.3</v>
      </c>
      <c r="Q44" s="52">
        <f t="shared" si="6"/>
        <v>309.10000000000002</v>
      </c>
      <c r="R44" s="17">
        <f t="shared" si="7"/>
        <v>231</v>
      </c>
      <c r="S44" s="78">
        <f t="shared" si="5"/>
        <v>3</v>
      </c>
      <c r="T44" s="91">
        <f t="shared" si="3"/>
        <v>543.1</v>
      </c>
    </row>
    <row r="45" spans="1:20" ht="15.75" x14ac:dyDescent="0.25">
      <c r="A45" s="236" t="s">
        <v>91</v>
      </c>
      <c r="B45" s="107">
        <v>146.69999999999999</v>
      </c>
      <c r="C45" s="23">
        <v>104.1</v>
      </c>
      <c r="D45" s="23"/>
      <c r="E45" s="45">
        <f t="shared" si="0"/>
        <v>250.79999999999998</v>
      </c>
      <c r="F45" s="40"/>
      <c r="G45" s="39"/>
      <c r="H45" s="15"/>
      <c r="I45" s="107">
        <v>175</v>
      </c>
      <c r="J45" s="23">
        <v>63</v>
      </c>
      <c r="K45" s="83"/>
      <c r="L45" s="15">
        <f t="shared" si="4"/>
        <v>238</v>
      </c>
      <c r="M45" s="182"/>
      <c r="N45" s="23">
        <v>92.5</v>
      </c>
      <c r="O45" s="23">
        <v>1</v>
      </c>
      <c r="P45" s="5">
        <f t="shared" si="1"/>
        <v>93.5</v>
      </c>
      <c r="Q45" s="60">
        <f t="shared" si="6"/>
        <v>321.7</v>
      </c>
      <c r="R45" s="23">
        <f t="shared" si="7"/>
        <v>259.60000000000002</v>
      </c>
      <c r="S45" s="83">
        <f t="shared" si="5"/>
        <v>1</v>
      </c>
      <c r="T45" s="80">
        <f t="shared" si="3"/>
        <v>582.29999999999995</v>
      </c>
    </row>
    <row r="46" spans="1:20" ht="15.75" x14ac:dyDescent="0.25">
      <c r="A46" s="236" t="s">
        <v>108</v>
      </c>
      <c r="B46" s="107">
        <v>100.6</v>
      </c>
      <c r="C46" s="23">
        <v>61.7</v>
      </c>
      <c r="D46" s="23"/>
      <c r="E46" s="45">
        <f t="shared" si="0"/>
        <v>162.30000000000001</v>
      </c>
      <c r="F46" s="40"/>
      <c r="G46" s="39"/>
      <c r="H46" s="15"/>
      <c r="I46" s="107">
        <v>76.3</v>
      </c>
      <c r="J46" s="23">
        <v>27.6</v>
      </c>
      <c r="K46" s="83"/>
      <c r="L46" s="15">
        <f t="shared" si="4"/>
        <v>103.9</v>
      </c>
      <c r="M46" s="182"/>
      <c r="N46" s="23">
        <v>40</v>
      </c>
      <c r="O46" s="23"/>
      <c r="P46" s="5">
        <f t="shared" si="1"/>
        <v>40</v>
      </c>
      <c r="Q46" s="60">
        <f t="shared" si="6"/>
        <v>176.89999999999998</v>
      </c>
      <c r="R46" s="23">
        <f t="shared" si="7"/>
        <v>129.30000000000001</v>
      </c>
      <c r="S46" s="83">
        <f t="shared" si="5"/>
        <v>0</v>
      </c>
      <c r="T46" s="80">
        <f t="shared" si="3"/>
        <v>306.2</v>
      </c>
    </row>
    <row r="47" spans="1:20" ht="15.75" x14ac:dyDescent="0.25">
      <c r="A47" s="236" t="s">
        <v>109</v>
      </c>
      <c r="B47" s="107">
        <v>72.2</v>
      </c>
      <c r="C47" s="23">
        <v>48.7</v>
      </c>
      <c r="D47" s="23"/>
      <c r="E47" s="45">
        <f t="shared" si="0"/>
        <v>120.9</v>
      </c>
      <c r="F47" s="40"/>
      <c r="G47" s="39"/>
      <c r="H47" s="15"/>
      <c r="I47" s="107">
        <v>55.2</v>
      </c>
      <c r="J47" s="23">
        <v>19.8</v>
      </c>
      <c r="K47" s="83"/>
      <c r="L47" s="15">
        <f t="shared" si="4"/>
        <v>75</v>
      </c>
      <c r="M47" s="182"/>
      <c r="N47" s="23">
        <v>28.1</v>
      </c>
      <c r="O47" s="23"/>
      <c r="P47" s="5">
        <f t="shared" si="1"/>
        <v>28.1</v>
      </c>
      <c r="Q47" s="60">
        <f t="shared" si="6"/>
        <v>127.4</v>
      </c>
      <c r="R47" s="23">
        <f t="shared" si="7"/>
        <v>96.600000000000009</v>
      </c>
      <c r="S47" s="83">
        <f t="shared" si="5"/>
        <v>0</v>
      </c>
      <c r="T47" s="80">
        <f t="shared" si="3"/>
        <v>224</v>
      </c>
    </row>
    <row r="48" spans="1:20" ht="16.5" thickBot="1" x14ac:dyDescent="0.3">
      <c r="A48" s="240" t="s">
        <v>112</v>
      </c>
      <c r="B48" s="241">
        <v>114</v>
      </c>
      <c r="C48" s="242">
        <v>64.599999999999994</v>
      </c>
      <c r="D48" s="242"/>
      <c r="E48" s="243">
        <f t="shared" si="0"/>
        <v>178.6</v>
      </c>
      <c r="F48" s="244"/>
      <c r="G48" s="245"/>
      <c r="H48" s="228"/>
      <c r="I48" s="241">
        <v>64.599999999999994</v>
      </c>
      <c r="J48" s="242">
        <v>23.4</v>
      </c>
      <c r="K48" s="246"/>
      <c r="L48" s="228">
        <f t="shared" si="4"/>
        <v>88</v>
      </c>
      <c r="M48" s="247"/>
      <c r="N48" s="242">
        <v>24.6</v>
      </c>
      <c r="O48" s="242"/>
      <c r="P48" s="227">
        <f t="shared" si="1"/>
        <v>24.6</v>
      </c>
      <c r="Q48" s="248">
        <f t="shared" ref="Q48:Q69" si="12">M48+I48+F48+B48</f>
        <v>178.6</v>
      </c>
      <c r="R48" s="242">
        <f t="shared" ref="R48:R69" si="13">N48+J48+G48+C48</f>
        <v>112.6</v>
      </c>
      <c r="S48" s="246">
        <f t="shared" si="5"/>
        <v>0</v>
      </c>
      <c r="T48" s="249">
        <f t="shared" si="3"/>
        <v>291.2</v>
      </c>
    </row>
    <row r="49" spans="1:20" ht="15.75" x14ac:dyDescent="0.25">
      <c r="A49" s="250" t="s">
        <v>102</v>
      </c>
      <c r="B49" s="251">
        <v>123.7</v>
      </c>
      <c r="C49" s="51">
        <v>75.8</v>
      </c>
      <c r="D49" s="51">
        <v>30</v>
      </c>
      <c r="E49" s="44">
        <f t="shared" si="0"/>
        <v>229.5</v>
      </c>
      <c r="F49" s="252"/>
      <c r="G49" s="253"/>
      <c r="H49" s="43"/>
      <c r="I49" s="251">
        <v>79.400000000000006</v>
      </c>
      <c r="J49" s="51">
        <v>28.8</v>
      </c>
      <c r="K49" s="254"/>
      <c r="L49" s="43">
        <f t="shared" si="4"/>
        <v>108.2</v>
      </c>
      <c r="M49" s="255"/>
      <c r="N49" s="51">
        <v>42.8</v>
      </c>
      <c r="O49" s="51"/>
      <c r="P49" s="37">
        <f t="shared" si="1"/>
        <v>42.8</v>
      </c>
      <c r="Q49" s="59">
        <f t="shared" si="12"/>
        <v>203.10000000000002</v>
      </c>
      <c r="R49" s="51">
        <f t="shared" si="13"/>
        <v>147.39999999999998</v>
      </c>
      <c r="S49" s="254">
        <f t="shared" si="5"/>
        <v>30</v>
      </c>
      <c r="T49" s="79">
        <f t="shared" si="3"/>
        <v>380.5</v>
      </c>
    </row>
    <row r="50" spans="1:20" ht="15.75" x14ac:dyDescent="0.25">
      <c r="A50" s="236" t="s">
        <v>72</v>
      </c>
      <c r="B50" s="107">
        <v>67.099999999999994</v>
      </c>
      <c r="C50" s="23">
        <v>51.4</v>
      </c>
      <c r="D50" s="23"/>
      <c r="E50" s="45">
        <f t="shared" si="0"/>
        <v>118.5</v>
      </c>
      <c r="F50" s="40"/>
      <c r="G50" s="39"/>
      <c r="H50" s="15"/>
      <c r="I50" s="107">
        <v>50.6</v>
      </c>
      <c r="J50" s="23">
        <v>18.3</v>
      </c>
      <c r="K50" s="83"/>
      <c r="L50" s="15">
        <f t="shared" si="4"/>
        <v>68.900000000000006</v>
      </c>
      <c r="M50" s="182"/>
      <c r="N50" s="23">
        <v>28.2</v>
      </c>
      <c r="O50" s="23"/>
      <c r="P50" s="5">
        <f t="shared" si="1"/>
        <v>28.2</v>
      </c>
      <c r="Q50" s="60">
        <f t="shared" si="12"/>
        <v>117.69999999999999</v>
      </c>
      <c r="R50" s="23">
        <f t="shared" si="13"/>
        <v>97.9</v>
      </c>
      <c r="S50" s="83">
        <f t="shared" si="5"/>
        <v>0</v>
      </c>
      <c r="T50" s="80">
        <f t="shared" si="3"/>
        <v>215.6</v>
      </c>
    </row>
    <row r="51" spans="1:20" ht="15.75" x14ac:dyDescent="0.25">
      <c r="A51" s="236" t="s">
        <v>116</v>
      </c>
      <c r="B51" s="107">
        <v>71.599999999999994</v>
      </c>
      <c r="C51" s="23">
        <v>43.2</v>
      </c>
      <c r="D51" s="23"/>
      <c r="E51" s="45">
        <f t="shared" si="0"/>
        <v>114.8</v>
      </c>
      <c r="F51" s="40"/>
      <c r="G51" s="39"/>
      <c r="H51" s="15"/>
      <c r="I51" s="107">
        <v>49.1</v>
      </c>
      <c r="J51" s="23">
        <v>17.8</v>
      </c>
      <c r="K51" s="83"/>
      <c r="L51" s="15">
        <f t="shared" si="4"/>
        <v>66.900000000000006</v>
      </c>
      <c r="M51" s="182"/>
      <c r="N51" s="23">
        <v>27.1</v>
      </c>
      <c r="O51" s="33"/>
      <c r="P51" s="5">
        <f t="shared" si="1"/>
        <v>27.1</v>
      </c>
      <c r="Q51" s="60">
        <f t="shared" si="12"/>
        <v>120.69999999999999</v>
      </c>
      <c r="R51" s="23">
        <f t="shared" si="13"/>
        <v>88.100000000000009</v>
      </c>
      <c r="S51" s="83">
        <f t="shared" si="5"/>
        <v>0</v>
      </c>
      <c r="T51" s="80">
        <f t="shared" si="3"/>
        <v>208.8</v>
      </c>
    </row>
    <row r="52" spans="1:20" ht="15.75" x14ac:dyDescent="0.25">
      <c r="A52" s="236" t="s">
        <v>73</v>
      </c>
      <c r="B52" s="107">
        <v>99.9</v>
      </c>
      <c r="C52" s="23">
        <v>59.4</v>
      </c>
      <c r="D52" s="23"/>
      <c r="E52" s="45">
        <f t="shared" si="0"/>
        <v>159.30000000000001</v>
      </c>
      <c r="F52" s="40"/>
      <c r="G52" s="39"/>
      <c r="H52" s="15"/>
      <c r="I52" s="107">
        <v>73.3</v>
      </c>
      <c r="J52" s="23">
        <v>26.2</v>
      </c>
      <c r="K52" s="83"/>
      <c r="L52" s="15">
        <f t="shared" si="4"/>
        <v>99.5</v>
      </c>
      <c r="M52" s="182"/>
      <c r="N52" s="23">
        <v>39.4</v>
      </c>
      <c r="O52" s="23"/>
      <c r="P52" s="5">
        <f t="shared" si="1"/>
        <v>39.4</v>
      </c>
      <c r="Q52" s="60">
        <f t="shared" si="12"/>
        <v>173.2</v>
      </c>
      <c r="R52" s="23">
        <f t="shared" si="13"/>
        <v>125</v>
      </c>
      <c r="S52" s="83">
        <f t="shared" si="5"/>
        <v>0</v>
      </c>
      <c r="T52" s="80">
        <f t="shared" si="3"/>
        <v>298.2</v>
      </c>
    </row>
    <row r="53" spans="1:20" ht="15" x14ac:dyDescent="0.25">
      <c r="A53" s="237" t="s">
        <v>115</v>
      </c>
      <c r="B53" s="107">
        <v>251.9</v>
      </c>
      <c r="C53" s="23">
        <v>158.5</v>
      </c>
      <c r="D53" s="23"/>
      <c r="E53" s="45">
        <f t="shared" si="0"/>
        <v>410.4</v>
      </c>
      <c r="F53" s="40"/>
      <c r="G53" s="39"/>
      <c r="H53" s="15"/>
      <c r="I53" s="107">
        <v>276.5</v>
      </c>
      <c r="J53" s="23">
        <v>99.8</v>
      </c>
      <c r="K53" s="83"/>
      <c r="L53" s="15">
        <f t="shared" si="4"/>
        <v>376.3</v>
      </c>
      <c r="M53" s="182"/>
      <c r="N53" s="23">
        <v>135.4</v>
      </c>
      <c r="O53" s="23">
        <v>4</v>
      </c>
      <c r="P53" s="5">
        <f t="shared" si="1"/>
        <v>139.4</v>
      </c>
      <c r="Q53" s="60">
        <f t="shared" si="12"/>
        <v>528.4</v>
      </c>
      <c r="R53" s="23">
        <f t="shared" si="13"/>
        <v>393.7</v>
      </c>
      <c r="S53" s="83">
        <f t="shared" si="5"/>
        <v>4</v>
      </c>
      <c r="T53" s="80">
        <f t="shared" si="3"/>
        <v>926.09999999999991</v>
      </c>
    </row>
    <row r="54" spans="1:20" ht="15.75" x14ac:dyDescent="0.25">
      <c r="A54" s="236" t="s">
        <v>103</v>
      </c>
      <c r="B54" s="107">
        <v>109.7</v>
      </c>
      <c r="C54" s="23">
        <v>63.5</v>
      </c>
      <c r="D54" s="23"/>
      <c r="E54" s="45">
        <f t="shared" si="0"/>
        <v>173.2</v>
      </c>
      <c r="F54" s="40"/>
      <c r="G54" s="39"/>
      <c r="H54" s="15"/>
      <c r="I54" s="107">
        <v>73.5</v>
      </c>
      <c r="J54" s="23">
        <v>26.7</v>
      </c>
      <c r="K54" s="83"/>
      <c r="L54" s="15">
        <f t="shared" si="4"/>
        <v>100.2</v>
      </c>
      <c r="M54" s="182"/>
      <c r="N54" s="23">
        <v>43.7</v>
      </c>
      <c r="O54" s="23"/>
      <c r="P54" s="5">
        <f t="shared" si="1"/>
        <v>43.7</v>
      </c>
      <c r="Q54" s="60">
        <f t="shared" si="12"/>
        <v>183.2</v>
      </c>
      <c r="R54" s="23">
        <f t="shared" si="13"/>
        <v>133.9</v>
      </c>
      <c r="S54" s="83">
        <f t="shared" si="5"/>
        <v>0</v>
      </c>
      <c r="T54" s="80">
        <f t="shared" si="3"/>
        <v>317.10000000000002</v>
      </c>
    </row>
    <row r="55" spans="1:20" ht="15.75" x14ac:dyDescent="0.25">
      <c r="A55" s="236" t="s">
        <v>110</v>
      </c>
      <c r="B55" s="107">
        <v>17.899999999999999</v>
      </c>
      <c r="C55" s="23">
        <v>19.2</v>
      </c>
      <c r="D55" s="23"/>
      <c r="E55" s="45">
        <f t="shared" si="0"/>
        <v>37.099999999999994</v>
      </c>
      <c r="F55" s="40"/>
      <c r="G55" s="39"/>
      <c r="H55" s="15"/>
      <c r="I55" s="107">
        <v>12.8</v>
      </c>
      <c r="J55" s="23">
        <v>4.7</v>
      </c>
      <c r="K55" s="83"/>
      <c r="L55" s="15">
        <f t="shared" si="4"/>
        <v>17.5</v>
      </c>
      <c r="M55" s="182"/>
      <c r="N55" s="23">
        <v>6</v>
      </c>
      <c r="O55" s="23"/>
      <c r="P55" s="5">
        <f t="shared" si="1"/>
        <v>6</v>
      </c>
      <c r="Q55" s="60">
        <f t="shared" si="12"/>
        <v>30.7</v>
      </c>
      <c r="R55" s="23">
        <f t="shared" si="13"/>
        <v>29.9</v>
      </c>
      <c r="S55" s="83">
        <f t="shared" si="5"/>
        <v>0</v>
      </c>
      <c r="T55" s="80">
        <f t="shared" si="3"/>
        <v>60.599999999999994</v>
      </c>
    </row>
    <row r="56" spans="1:20" ht="15.75" x14ac:dyDescent="0.25">
      <c r="A56" s="236" t="s">
        <v>74</v>
      </c>
      <c r="B56" s="107">
        <v>101.1</v>
      </c>
      <c r="C56" s="23">
        <v>66.400000000000006</v>
      </c>
      <c r="D56" s="23"/>
      <c r="E56" s="45">
        <f t="shared" si="0"/>
        <v>167.5</v>
      </c>
      <c r="F56" s="40"/>
      <c r="G56" s="39"/>
      <c r="H56" s="15"/>
      <c r="I56" s="107">
        <v>79.8</v>
      </c>
      <c r="J56" s="23">
        <v>28.6</v>
      </c>
      <c r="K56" s="83"/>
      <c r="L56" s="15">
        <f t="shared" si="4"/>
        <v>108.4</v>
      </c>
      <c r="M56" s="182"/>
      <c r="N56" s="23">
        <v>34.1</v>
      </c>
      <c r="O56" s="23"/>
      <c r="P56" s="5">
        <f t="shared" si="1"/>
        <v>34.1</v>
      </c>
      <c r="Q56" s="60">
        <f t="shared" si="12"/>
        <v>180.89999999999998</v>
      </c>
      <c r="R56" s="23">
        <f t="shared" si="13"/>
        <v>129.10000000000002</v>
      </c>
      <c r="S56" s="83">
        <f t="shared" si="5"/>
        <v>0</v>
      </c>
      <c r="T56" s="80">
        <f t="shared" si="3"/>
        <v>310</v>
      </c>
    </row>
    <row r="57" spans="1:20" ht="15.75" x14ac:dyDescent="0.25">
      <c r="A57" s="235" t="s">
        <v>75</v>
      </c>
      <c r="B57" s="107">
        <v>56.5</v>
      </c>
      <c r="C57" s="23">
        <v>47.6</v>
      </c>
      <c r="D57" s="23"/>
      <c r="E57" s="45">
        <f t="shared" si="0"/>
        <v>104.1</v>
      </c>
      <c r="F57" s="40"/>
      <c r="G57" s="39"/>
      <c r="H57" s="15"/>
      <c r="I57" s="107">
        <v>34.6</v>
      </c>
      <c r="J57" s="23">
        <v>12.6</v>
      </c>
      <c r="K57" s="83"/>
      <c r="L57" s="15">
        <f t="shared" si="4"/>
        <v>47.2</v>
      </c>
      <c r="M57" s="182"/>
      <c r="N57" s="23">
        <v>23.2</v>
      </c>
      <c r="O57" s="23"/>
      <c r="P57" s="5">
        <f t="shared" si="1"/>
        <v>23.2</v>
      </c>
      <c r="Q57" s="60">
        <f t="shared" si="12"/>
        <v>91.1</v>
      </c>
      <c r="R57" s="23">
        <f t="shared" si="13"/>
        <v>83.4</v>
      </c>
      <c r="S57" s="83">
        <f t="shared" si="5"/>
        <v>0</v>
      </c>
      <c r="T57" s="80">
        <f t="shared" si="3"/>
        <v>174.5</v>
      </c>
    </row>
    <row r="58" spans="1:20" ht="15.75" x14ac:dyDescent="0.25">
      <c r="A58" s="235" t="s">
        <v>64</v>
      </c>
      <c r="B58" s="107">
        <v>584</v>
      </c>
      <c r="C58" s="23">
        <v>195.9</v>
      </c>
      <c r="D58" s="23"/>
      <c r="E58" s="45">
        <f t="shared" si="0"/>
        <v>779.9</v>
      </c>
      <c r="F58" s="40"/>
      <c r="G58" s="39"/>
      <c r="H58" s="15"/>
      <c r="I58" s="107">
        <v>7.8</v>
      </c>
      <c r="J58" s="23">
        <v>2.4</v>
      </c>
      <c r="K58" s="83"/>
      <c r="L58" s="15">
        <f t="shared" si="4"/>
        <v>10.199999999999999</v>
      </c>
      <c r="M58" s="107"/>
      <c r="N58" s="23">
        <v>50</v>
      </c>
      <c r="O58" s="23">
        <v>20</v>
      </c>
      <c r="P58" s="5">
        <f t="shared" si="1"/>
        <v>70</v>
      </c>
      <c r="Q58" s="60">
        <f t="shared" si="12"/>
        <v>591.79999999999995</v>
      </c>
      <c r="R58" s="23">
        <f t="shared" si="13"/>
        <v>248.3</v>
      </c>
      <c r="S58" s="83">
        <f t="shared" si="5"/>
        <v>20</v>
      </c>
      <c r="T58" s="80">
        <f t="shared" si="3"/>
        <v>860.09999999999991</v>
      </c>
    </row>
    <row r="59" spans="1:20" ht="15.75" x14ac:dyDescent="0.25">
      <c r="A59" s="235" t="s">
        <v>76</v>
      </c>
      <c r="B59" s="107">
        <v>173.2</v>
      </c>
      <c r="C59" s="23">
        <v>88</v>
      </c>
      <c r="D59" s="23"/>
      <c r="E59" s="45">
        <f t="shared" si="0"/>
        <v>261.2</v>
      </c>
      <c r="F59" s="40"/>
      <c r="G59" s="39"/>
      <c r="H59" s="15"/>
      <c r="I59" s="107">
        <v>6.5</v>
      </c>
      <c r="J59" s="23">
        <v>2</v>
      </c>
      <c r="K59" s="83"/>
      <c r="L59" s="15">
        <f t="shared" si="4"/>
        <v>8.5</v>
      </c>
      <c r="M59" s="182"/>
      <c r="N59" s="23">
        <v>13</v>
      </c>
      <c r="O59" s="23"/>
      <c r="P59" s="5">
        <f t="shared" si="1"/>
        <v>13</v>
      </c>
      <c r="Q59" s="60">
        <f t="shared" si="12"/>
        <v>179.7</v>
      </c>
      <c r="R59" s="23">
        <f t="shared" si="13"/>
        <v>103</v>
      </c>
      <c r="S59" s="83">
        <f t="shared" si="5"/>
        <v>0</v>
      </c>
      <c r="T59" s="80">
        <f t="shared" si="3"/>
        <v>282.7</v>
      </c>
    </row>
    <row r="60" spans="1:20" ht="15.75" x14ac:dyDescent="0.25">
      <c r="A60" s="235" t="s">
        <v>71</v>
      </c>
      <c r="B60" s="107">
        <v>120</v>
      </c>
      <c r="C60" s="23">
        <v>52.1</v>
      </c>
      <c r="D60" s="23"/>
      <c r="E60" s="45">
        <f t="shared" si="0"/>
        <v>172.1</v>
      </c>
      <c r="F60" s="40"/>
      <c r="G60" s="39"/>
      <c r="H60" s="15"/>
      <c r="I60" s="107">
        <v>2.1</v>
      </c>
      <c r="J60" s="23">
        <v>0.7</v>
      </c>
      <c r="K60" s="83"/>
      <c r="L60" s="15">
        <f t="shared" si="4"/>
        <v>2.8</v>
      </c>
      <c r="M60" s="182"/>
      <c r="N60" s="23">
        <v>6</v>
      </c>
      <c r="O60" s="23"/>
      <c r="P60" s="5">
        <f t="shared" si="1"/>
        <v>6</v>
      </c>
      <c r="Q60" s="60">
        <f t="shared" si="12"/>
        <v>122.1</v>
      </c>
      <c r="R60" s="23">
        <f t="shared" si="13"/>
        <v>58.800000000000004</v>
      </c>
      <c r="S60" s="83">
        <f t="shared" si="5"/>
        <v>0</v>
      </c>
      <c r="T60" s="80">
        <f t="shared" si="3"/>
        <v>180.9</v>
      </c>
    </row>
    <row r="61" spans="1:20" ht="15.75" x14ac:dyDescent="0.25">
      <c r="A61" s="235" t="s">
        <v>113</v>
      </c>
      <c r="B61" s="107">
        <v>115.3</v>
      </c>
      <c r="C61" s="23">
        <v>87.7</v>
      </c>
      <c r="D61" s="23"/>
      <c r="E61" s="45">
        <f t="shared" si="0"/>
        <v>203</v>
      </c>
      <c r="F61" s="40"/>
      <c r="G61" s="39"/>
      <c r="H61" s="15"/>
      <c r="I61" s="107">
        <v>44.7</v>
      </c>
      <c r="J61" s="23">
        <v>16.100000000000001</v>
      </c>
      <c r="K61" s="83"/>
      <c r="L61" s="15">
        <f t="shared" si="4"/>
        <v>60.800000000000004</v>
      </c>
      <c r="M61" s="182"/>
      <c r="N61" s="23">
        <v>29.6</v>
      </c>
      <c r="O61" s="23"/>
      <c r="P61" s="5">
        <f t="shared" si="1"/>
        <v>29.6</v>
      </c>
      <c r="Q61" s="60">
        <f t="shared" si="12"/>
        <v>160</v>
      </c>
      <c r="R61" s="23">
        <f t="shared" si="13"/>
        <v>133.4</v>
      </c>
      <c r="S61" s="83">
        <f t="shared" si="5"/>
        <v>0</v>
      </c>
      <c r="T61" s="80">
        <f>SUM(Q61:S61)</f>
        <v>293.39999999999998</v>
      </c>
    </row>
    <row r="62" spans="1:20" ht="15.75" x14ac:dyDescent="0.25">
      <c r="A62" s="235" t="s">
        <v>89</v>
      </c>
      <c r="B62" s="107">
        <v>126.5</v>
      </c>
      <c r="C62" s="23">
        <v>117</v>
      </c>
      <c r="D62" s="23">
        <v>17</v>
      </c>
      <c r="E62" s="45">
        <f t="shared" si="0"/>
        <v>260.5</v>
      </c>
      <c r="F62" s="40"/>
      <c r="G62" s="39"/>
      <c r="H62" s="15"/>
      <c r="I62" s="38"/>
      <c r="J62" s="33"/>
      <c r="K62" s="82"/>
      <c r="L62" s="15"/>
      <c r="M62" s="107">
        <v>4.8</v>
      </c>
      <c r="N62" s="23">
        <v>15.6</v>
      </c>
      <c r="O62" s="23">
        <v>7</v>
      </c>
      <c r="P62" s="5">
        <f t="shared" si="1"/>
        <v>27.4</v>
      </c>
      <c r="Q62" s="60">
        <f t="shared" si="12"/>
        <v>131.30000000000001</v>
      </c>
      <c r="R62" s="23">
        <f t="shared" si="13"/>
        <v>132.6</v>
      </c>
      <c r="S62" s="83">
        <f t="shared" si="5"/>
        <v>24</v>
      </c>
      <c r="T62" s="80">
        <f t="shared" si="3"/>
        <v>287.89999999999998</v>
      </c>
    </row>
    <row r="63" spans="1:20" ht="15.75" x14ac:dyDescent="0.25">
      <c r="A63" s="235" t="s">
        <v>59</v>
      </c>
      <c r="B63" s="107">
        <v>76.099999999999994</v>
      </c>
      <c r="C63" s="23">
        <v>47.7</v>
      </c>
      <c r="D63" s="23"/>
      <c r="E63" s="156">
        <f t="shared" si="0"/>
        <v>123.8</v>
      </c>
      <c r="F63" s="40"/>
      <c r="G63" s="39"/>
      <c r="H63" s="101"/>
      <c r="I63" s="38"/>
      <c r="J63" s="33"/>
      <c r="K63" s="82"/>
      <c r="L63" s="82"/>
      <c r="M63" s="182"/>
      <c r="N63" s="23">
        <v>0.4</v>
      </c>
      <c r="O63" s="23"/>
      <c r="P63" s="13">
        <f t="shared" si="1"/>
        <v>0.4</v>
      </c>
      <c r="Q63" s="61">
        <f t="shared" si="12"/>
        <v>76.099999999999994</v>
      </c>
      <c r="R63" s="24">
        <f t="shared" si="13"/>
        <v>48.1</v>
      </c>
      <c r="S63" s="83">
        <f t="shared" si="5"/>
        <v>0</v>
      </c>
      <c r="T63" s="84">
        <f t="shared" si="3"/>
        <v>124.19999999999999</v>
      </c>
    </row>
    <row r="64" spans="1:20" ht="15.75" x14ac:dyDescent="0.25">
      <c r="A64" s="235" t="s">
        <v>57</v>
      </c>
      <c r="B64" s="107">
        <v>112</v>
      </c>
      <c r="C64" s="23">
        <v>53.4</v>
      </c>
      <c r="D64" s="23"/>
      <c r="E64" s="156">
        <f t="shared" si="0"/>
        <v>165.4</v>
      </c>
      <c r="F64" s="40"/>
      <c r="G64" s="39"/>
      <c r="H64" s="101"/>
      <c r="I64" s="38"/>
      <c r="J64" s="33"/>
      <c r="K64" s="82"/>
      <c r="L64" s="82"/>
      <c r="M64" s="182"/>
      <c r="N64" s="23">
        <v>0.2</v>
      </c>
      <c r="O64" s="23"/>
      <c r="P64" s="13">
        <f t="shared" si="1"/>
        <v>0.2</v>
      </c>
      <c r="Q64" s="61">
        <f t="shared" si="12"/>
        <v>112</v>
      </c>
      <c r="R64" s="24">
        <f t="shared" si="13"/>
        <v>53.6</v>
      </c>
      <c r="S64" s="83">
        <f t="shared" si="5"/>
        <v>0</v>
      </c>
      <c r="T64" s="84">
        <f t="shared" si="3"/>
        <v>165.6</v>
      </c>
    </row>
    <row r="65" spans="1:20" ht="15.75" x14ac:dyDescent="0.25">
      <c r="A65" s="235" t="s">
        <v>60</v>
      </c>
      <c r="B65" s="107">
        <v>137.6</v>
      </c>
      <c r="C65" s="23">
        <v>83.9</v>
      </c>
      <c r="D65" s="23">
        <v>30</v>
      </c>
      <c r="E65" s="156">
        <f t="shared" si="0"/>
        <v>251.5</v>
      </c>
      <c r="F65" s="40"/>
      <c r="G65" s="39"/>
      <c r="H65" s="101"/>
      <c r="I65" s="38"/>
      <c r="J65" s="33"/>
      <c r="K65" s="82"/>
      <c r="L65" s="82"/>
      <c r="M65" s="182"/>
      <c r="N65" s="23">
        <v>0.2</v>
      </c>
      <c r="O65" s="23"/>
      <c r="P65" s="13">
        <f>SUM(M65:O65)</f>
        <v>0.2</v>
      </c>
      <c r="Q65" s="61">
        <f t="shared" si="12"/>
        <v>137.6</v>
      </c>
      <c r="R65" s="24">
        <f t="shared" si="13"/>
        <v>84.100000000000009</v>
      </c>
      <c r="S65" s="83">
        <f t="shared" si="5"/>
        <v>30</v>
      </c>
      <c r="T65" s="84">
        <f>SUM(Q65:S65)</f>
        <v>251.7</v>
      </c>
    </row>
    <row r="66" spans="1:20" ht="15.75" x14ac:dyDescent="0.25">
      <c r="A66" s="235" t="s">
        <v>77</v>
      </c>
      <c r="B66" s="107">
        <v>93.3</v>
      </c>
      <c r="C66" s="23">
        <v>46.7</v>
      </c>
      <c r="D66" s="23"/>
      <c r="E66" s="156">
        <f t="shared" si="0"/>
        <v>140</v>
      </c>
      <c r="F66" s="40"/>
      <c r="G66" s="39"/>
      <c r="H66" s="101"/>
      <c r="I66" s="38"/>
      <c r="J66" s="33"/>
      <c r="K66" s="82"/>
      <c r="L66" s="82"/>
      <c r="M66" s="182"/>
      <c r="N66" s="23">
        <v>1</v>
      </c>
      <c r="O66" s="33"/>
      <c r="P66" s="13">
        <f>SUM(M66:O66)</f>
        <v>1</v>
      </c>
      <c r="Q66" s="61">
        <f t="shared" si="12"/>
        <v>93.3</v>
      </c>
      <c r="R66" s="24">
        <f t="shared" si="13"/>
        <v>47.7</v>
      </c>
      <c r="S66" s="83">
        <f t="shared" si="5"/>
        <v>0</v>
      </c>
      <c r="T66" s="84">
        <f>SUM(Q66:S66)</f>
        <v>141</v>
      </c>
    </row>
    <row r="67" spans="1:20" s="81" customFormat="1" ht="15.75" x14ac:dyDescent="0.25">
      <c r="A67" s="235" t="s">
        <v>58</v>
      </c>
      <c r="B67" s="107">
        <v>121.2</v>
      </c>
      <c r="C67" s="23">
        <v>72.8</v>
      </c>
      <c r="D67" s="23"/>
      <c r="E67" s="156">
        <f t="shared" si="0"/>
        <v>194</v>
      </c>
      <c r="F67" s="40"/>
      <c r="G67" s="39"/>
      <c r="H67" s="101"/>
      <c r="I67" s="38"/>
      <c r="J67" s="33"/>
      <c r="K67" s="33"/>
      <c r="L67" s="82"/>
      <c r="M67" s="182"/>
      <c r="N67" s="23">
        <v>0.4</v>
      </c>
      <c r="O67" s="33"/>
      <c r="P67" s="15">
        <f>SUM(M67:O67)</f>
        <v>0.4</v>
      </c>
      <c r="Q67" s="107">
        <f t="shared" si="12"/>
        <v>121.2</v>
      </c>
      <c r="R67" s="23">
        <f t="shared" si="13"/>
        <v>73.2</v>
      </c>
      <c r="S67" s="83">
        <f t="shared" si="5"/>
        <v>0</v>
      </c>
      <c r="T67" s="80">
        <f>SUM(Q67:S67)</f>
        <v>194.4</v>
      </c>
    </row>
    <row r="68" spans="1:20" ht="15.75" x14ac:dyDescent="0.25">
      <c r="A68" s="235" t="s">
        <v>61</v>
      </c>
      <c r="B68" s="107">
        <v>79.2</v>
      </c>
      <c r="C68" s="23">
        <v>58</v>
      </c>
      <c r="D68" s="23"/>
      <c r="E68" s="156">
        <f t="shared" si="0"/>
        <v>137.19999999999999</v>
      </c>
      <c r="F68" s="40"/>
      <c r="G68" s="39"/>
      <c r="H68" s="101"/>
      <c r="I68" s="38"/>
      <c r="J68" s="33"/>
      <c r="K68" s="82"/>
      <c r="L68" s="82"/>
      <c r="M68" s="182"/>
      <c r="N68" s="23"/>
      <c r="O68" s="33"/>
      <c r="P68" s="13">
        <f>SUM(M68:O68)</f>
        <v>0</v>
      </c>
      <c r="Q68" s="61">
        <f t="shared" si="12"/>
        <v>79.2</v>
      </c>
      <c r="R68" s="24">
        <f t="shared" si="13"/>
        <v>58</v>
      </c>
      <c r="S68" s="83">
        <f t="shared" si="5"/>
        <v>0</v>
      </c>
      <c r="T68" s="84">
        <f>SUM(Q68:S68)</f>
        <v>137.19999999999999</v>
      </c>
    </row>
    <row r="69" spans="1:20" ht="16.5" thickBot="1" x14ac:dyDescent="0.3">
      <c r="A69" s="235" t="s">
        <v>84</v>
      </c>
      <c r="B69" s="107">
        <v>97.4</v>
      </c>
      <c r="C69" s="23">
        <v>66.2</v>
      </c>
      <c r="D69" s="23">
        <v>5</v>
      </c>
      <c r="E69" s="156">
        <f t="shared" si="0"/>
        <v>168.60000000000002</v>
      </c>
      <c r="F69" s="40"/>
      <c r="G69" s="39"/>
      <c r="H69" s="101"/>
      <c r="I69" s="38"/>
      <c r="J69" s="33"/>
      <c r="K69" s="82"/>
      <c r="L69" s="82"/>
      <c r="M69" s="182"/>
      <c r="N69" s="23">
        <v>9</v>
      </c>
      <c r="O69" s="23">
        <v>1</v>
      </c>
      <c r="P69" s="13">
        <f>SUM(M69:O69)</f>
        <v>10</v>
      </c>
      <c r="Q69" s="61">
        <f t="shared" si="12"/>
        <v>97.4</v>
      </c>
      <c r="R69" s="24">
        <f t="shared" si="13"/>
        <v>75.2</v>
      </c>
      <c r="S69" s="83">
        <f t="shared" si="5"/>
        <v>6</v>
      </c>
      <c r="T69" s="84">
        <f>SUM(Q69:S69)</f>
        <v>178.60000000000002</v>
      </c>
    </row>
    <row r="70" spans="1:20" ht="15" thickBot="1" x14ac:dyDescent="0.25">
      <c r="A70" s="127" t="s">
        <v>3</v>
      </c>
      <c r="B70" s="126">
        <f t="shared" ref="B70:P70" si="14">SUM(B10:B69)</f>
        <v>6574.7999999999993</v>
      </c>
      <c r="C70" s="103">
        <f>SUM(C10:C69)</f>
        <v>4921.0999999999976</v>
      </c>
      <c r="D70" s="103">
        <f t="shared" si="14"/>
        <v>755.8</v>
      </c>
      <c r="E70" s="104">
        <f>SUM(E10:E69)</f>
        <v>12251.700000000003</v>
      </c>
      <c r="F70" s="105">
        <f t="shared" si="14"/>
        <v>33.9</v>
      </c>
      <c r="G70" s="103">
        <f t="shared" si="14"/>
        <v>12</v>
      </c>
      <c r="H70" s="106">
        <f t="shared" si="14"/>
        <v>45.9</v>
      </c>
      <c r="I70" s="88">
        <f t="shared" si="14"/>
        <v>11293.499999999996</v>
      </c>
      <c r="J70" s="20">
        <f t="shared" si="14"/>
        <v>3917.5000000000009</v>
      </c>
      <c r="K70" s="20">
        <f t="shared" si="14"/>
        <v>22.600000000000005</v>
      </c>
      <c r="L70" s="89">
        <f t="shared" si="14"/>
        <v>15233.6</v>
      </c>
      <c r="M70" s="102">
        <f>SUM(M10:M69)</f>
        <v>7.4</v>
      </c>
      <c r="N70" s="103">
        <f>SUM(N10:N69)</f>
        <v>1400.2</v>
      </c>
      <c r="O70" s="103">
        <f t="shared" si="14"/>
        <v>56.1</v>
      </c>
      <c r="P70" s="104">
        <f t="shared" si="14"/>
        <v>1463.7000000000003</v>
      </c>
      <c r="Q70" s="102">
        <f>SUM(Q10:Q69)</f>
        <v>17909.600000000002</v>
      </c>
      <c r="R70" s="103">
        <f>SUM(R10:R69)</f>
        <v>10250.800000000001</v>
      </c>
      <c r="S70" s="106">
        <f>SUM(S10:S69)</f>
        <v>834.50000000000011</v>
      </c>
      <c r="T70" s="90">
        <f>SUM(T10:T69)</f>
        <v>28994.899999999998</v>
      </c>
    </row>
    <row r="73" spans="1:20" ht="15.75" x14ac:dyDescent="0.25">
      <c r="B73" s="28"/>
      <c r="F73" s="28" t="s">
        <v>46</v>
      </c>
    </row>
  </sheetData>
  <mergeCells count="26">
    <mergeCell ref="D8:D9"/>
    <mergeCell ref="M8:M9"/>
    <mergeCell ref="N8:N9"/>
    <mergeCell ref="E8:E9"/>
    <mergeCell ref="F8:F9"/>
    <mergeCell ref="A5:S5"/>
    <mergeCell ref="A7:A9"/>
    <mergeCell ref="F7:H7"/>
    <mergeCell ref="B8:B9"/>
    <mergeCell ref="C8:C9"/>
    <mergeCell ref="G8:G9"/>
    <mergeCell ref="H8:H9"/>
    <mergeCell ref="L8:L9"/>
    <mergeCell ref="P8:P9"/>
    <mergeCell ref="B7:E7"/>
    <mergeCell ref="K8:K9"/>
    <mergeCell ref="M7:P7"/>
    <mergeCell ref="O8:O9"/>
    <mergeCell ref="I8:I9"/>
    <mergeCell ref="J8:J9"/>
    <mergeCell ref="I7:L7"/>
    <mergeCell ref="T8:T9"/>
    <mergeCell ref="R8:R9"/>
    <mergeCell ref="S8:S9"/>
    <mergeCell ref="Q7:T7"/>
    <mergeCell ref="Q8:Q9"/>
  </mergeCells>
  <phoneticPr fontId="2" type="noConversion"/>
  <pageMargins left="7.874015748031496E-2" right="0" top="0.98425196850393704" bottom="0.19685039370078741" header="0" footer="0"/>
  <pageSetup paperSize="256" scale="6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2"/>
  <sheetViews>
    <sheetView workbookViewId="0">
      <selection activeCell="H2" sqref="H2"/>
    </sheetView>
  </sheetViews>
  <sheetFormatPr defaultRowHeight="12.75" x14ac:dyDescent="0.2"/>
  <cols>
    <col min="1" max="1" width="22.140625" customWidth="1"/>
    <col min="2" max="2" width="9.42578125" customWidth="1"/>
    <col min="3" max="3" width="8.7109375" customWidth="1"/>
    <col min="4" max="4" width="11.42578125" customWidth="1"/>
    <col min="5" max="5" width="9" customWidth="1"/>
    <col min="6" max="6" width="9.5703125" customWidth="1"/>
    <col min="7" max="7" width="11.140625" customWidth="1"/>
    <col min="8" max="8" width="8.7109375" customWidth="1"/>
    <col min="9" max="9" width="8.140625" customWidth="1"/>
    <col min="10" max="10" width="9.28515625" customWidth="1"/>
    <col min="11" max="11" width="8.28515625" customWidth="1"/>
    <col min="12" max="12" width="9.42578125" customWidth="1"/>
    <col min="13" max="13" width="8.7109375" customWidth="1"/>
    <col min="14" max="14" width="10" customWidth="1"/>
  </cols>
  <sheetData>
    <row r="1" spans="1:20" ht="15" x14ac:dyDescent="0.25">
      <c r="H1" s="1" t="s">
        <v>14</v>
      </c>
      <c r="I1" s="1"/>
      <c r="J1" s="1"/>
      <c r="K1" s="1"/>
      <c r="L1" s="1"/>
      <c r="M1" s="21"/>
    </row>
    <row r="2" spans="1:20" ht="15" x14ac:dyDescent="0.25">
      <c r="H2" s="1" t="s">
        <v>142</v>
      </c>
      <c r="I2" s="1"/>
      <c r="J2" s="1"/>
      <c r="K2" s="1"/>
      <c r="L2" s="1"/>
      <c r="M2" s="21"/>
    </row>
    <row r="3" spans="1:20" ht="15" x14ac:dyDescent="0.25">
      <c r="H3" s="22" t="s">
        <v>40</v>
      </c>
      <c r="I3" s="1"/>
      <c r="J3" s="1"/>
      <c r="K3" s="1"/>
      <c r="L3" s="1"/>
      <c r="M3" s="21"/>
    </row>
    <row r="5" spans="1:20" ht="15.75" x14ac:dyDescent="0.25">
      <c r="A5" s="258" t="s">
        <v>139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"/>
      <c r="P5" s="25"/>
      <c r="Q5" s="25"/>
      <c r="R5" s="25"/>
      <c r="S5" s="25"/>
      <c r="T5" s="25"/>
    </row>
    <row r="6" spans="1:20" ht="16.5" thickBot="1" x14ac:dyDescent="0.3">
      <c r="L6" s="28"/>
      <c r="M6" s="28"/>
      <c r="N6" s="28"/>
    </row>
    <row r="7" spans="1:20" ht="15" thickBot="1" x14ac:dyDescent="0.25">
      <c r="A7" s="323" t="s">
        <v>8</v>
      </c>
      <c r="B7" s="317" t="s">
        <v>45</v>
      </c>
      <c r="C7" s="298"/>
      <c r="D7" s="299"/>
      <c r="E7" s="318"/>
      <c r="F7" s="300"/>
      <c r="G7" s="306" t="s">
        <v>88</v>
      </c>
      <c r="H7" s="306"/>
      <c r="I7" s="307"/>
      <c r="J7" s="317" t="s">
        <v>3</v>
      </c>
      <c r="K7" s="298"/>
      <c r="L7" s="299"/>
      <c r="M7" s="299"/>
      <c r="N7" s="300"/>
    </row>
    <row r="8" spans="1:20" ht="12.75" customHeight="1" x14ac:dyDescent="0.2">
      <c r="A8" s="324"/>
      <c r="B8" s="259" t="s">
        <v>1</v>
      </c>
      <c r="C8" s="261" t="s">
        <v>78</v>
      </c>
      <c r="D8" s="261" t="s">
        <v>7</v>
      </c>
      <c r="E8" s="261" t="s">
        <v>6</v>
      </c>
      <c r="F8" s="263" t="s">
        <v>3</v>
      </c>
      <c r="G8" s="292" t="s">
        <v>7</v>
      </c>
      <c r="H8" s="261" t="s">
        <v>2</v>
      </c>
      <c r="I8" s="263" t="s">
        <v>3</v>
      </c>
      <c r="J8" s="259" t="s">
        <v>1</v>
      </c>
      <c r="K8" s="261" t="s">
        <v>63</v>
      </c>
      <c r="L8" s="261" t="s">
        <v>7</v>
      </c>
      <c r="M8" s="263" t="s">
        <v>2</v>
      </c>
      <c r="N8" s="273" t="s">
        <v>3</v>
      </c>
    </row>
    <row r="9" spans="1:20" ht="28.5" customHeight="1" thickBot="1" x14ac:dyDescent="0.25">
      <c r="A9" s="325"/>
      <c r="B9" s="275"/>
      <c r="C9" s="322"/>
      <c r="D9" s="276"/>
      <c r="E9" s="322"/>
      <c r="F9" s="320"/>
      <c r="G9" s="327"/>
      <c r="H9" s="319"/>
      <c r="I9" s="320"/>
      <c r="J9" s="321"/>
      <c r="K9" s="322"/>
      <c r="L9" s="319"/>
      <c r="M9" s="320"/>
      <c r="N9" s="326"/>
    </row>
    <row r="10" spans="1:20" ht="18" customHeight="1" x14ac:dyDescent="0.2">
      <c r="A10" s="85" t="s">
        <v>15</v>
      </c>
      <c r="B10" s="157">
        <v>46.3</v>
      </c>
      <c r="C10" s="158">
        <v>14.3</v>
      </c>
      <c r="D10" s="153">
        <v>49.5</v>
      </c>
      <c r="E10" s="14">
        <v>14.3</v>
      </c>
      <c r="F10" s="8">
        <f t="shared" ref="F10:F35" si="0">SUM(B10:E10)</f>
        <v>124.39999999999999</v>
      </c>
      <c r="G10" s="174"/>
      <c r="H10" s="7"/>
      <c r="I10" s="14">
        <f t="shared" ref="I10:I34" si="1">SUM(G10:H10)</f>
        <v>0</v>
      </c>
      <c r="J10" s="64">
        <f>B10</f>
        <v>46.3</v>
      </c>
      <c r="K10" s="152">
        <f>C10</f>
        <v>14.3</v>
      </c>
      <c r="L10" s="153">
        <f>D10+G10</f>
        <v>49.5</v>
      </c>
      <c r="M10" s="154">
        <f>E10+H10</f>
        <v>14.3</v>
      </c>
      <c r="N10" s="155">
        <f>SUM(J10:M10)</f>
        <v>124.39999999999999</v>
      </c>
    </row>
    <row r="11" spans="1:20" ht="16.5" customHeight="1" x14ac:dyDescent="0.25">
      <c r="A11" s="86" t="s">
        <v>16</v>
      </c>
      <c r="B11" s="159">
        <v>53.5</v>
      </c>
      <c r="C11" s="158">
        <v>16.600000000000001</v>
      </c>
      <c r="D11" s="23">
        <v>69</v>
      </c>
      <c r="E11" s="15">
        <v>10.5</v>
      </c>
      <c r="F11" s="8">
        <f t="shared" si="0"/>
        <v>149.6</v>
      </c>
      <c r="G11" s="11"/>
      <c r="H11" s="4"/>
      <c r="I11" s="15">
        <f t="shared" si="1"/>
        <v>0</v>
      </c>
      <c r="J11" s="16">
        <f t="shared" ref="J11:J35" si="2">B11</f>
        <v>53.5</v>
      </c>
      <c r="K11" s="52">
        <f>C11</f>
        <v>16.600000000000001</v>
      </c>
      <c r="L11" s="17">
        <f t="shared" ref="L11:L35" si="3">D11+G11</f>
        <v>69</v>
      </c>
      <c r="M11" s="78">
        <f t="shared" ref="M11:M34" si="4">E11+H11</f>
        <v>10.5</v>
      </c>
      <c r="N11" s="91">
        <f t="shared" ref="N11:N34" si="5">SUM(J11:M11)</f>
        <v>149.6</v>
      </c>
    </row>
    <row r="12" spans="1:20" ht="15" x14ac:dyDescent="0.25">
      <c r="A12" s="86" t="s">
        <v>17</v>
      </c>
      <c r="B12" s="159">
        <v>61.8</v>
      </c>
      <c r="C12" s="158">
        <v>19.100000000000001</v>
      </c>
      <c r="D12" s="160">
        <v>94.8</v>
      </c>
      <c r="E12" s="98">
        <v>21.6</v>
      </c>
      <c r="F12" s="8">
        <f t="shared" si="0"/>
        <v>197.29999999999998</v>
      </c>
      <c r="G12" s="11">
        <v>0.7</v>
      </c>
      <c r="H12" s="4"/>
      <c r="I12" s="15">
        <f t="shared" si="1"/>
        <v>0.7</v>
      </c>
      <c r="J12" s="16">
        <f t="shared" si="2"/>
        <v>61.8</v>
      </c>
      <c r="K12" s="52">
        <f t="shared" ref="K12:K34" si="6">C12</f>
        <v>19.100000000000001</v>
      </c>
      <c r="L12" s="17">
        <f t="shared" si="3"/>
        <v>95.5</v>
      </c>
      <c r="M12" s="78">
        <f t="shared" si="4"/>
        <v>21.6</v>
      </c>
      <c r="N12" s="91">
        <f t="shared" si="5"/>
        <v>198</v>
      </c>
    </row>
    <row r="13" spans="1:20" ht="15" x14ac:dyDescent="0.25">
      <c r="A13" s="86" t="s">
        <v>44</v>
      </c>
      <c r="B13" s="159">
        <v>46.5</v>
      </c>
      <c r="C13" s="158">
        <v>14.4</v>
      </c>
      <c r="D13" s="99">
        <v>75.900000000000006</v>
      </c>
      <c r="E13" s="98">
        <v>20</v>
      </c>
      <c r="F13" s="8">
        <f t="shared" si="0"/>
        <v>156.80000000000001</v>
      </c>
      <c r="G13" s="11"/>
      <c r="H13" s="4"/>
      <c r="I13" s="15">
        <f t="shared" si="1"/>
        <v>0</v>
      </c>
      <c r="J13" s="16">
        <f t="shared" si="2"/>
        <v>46.5</v>
      </c>
      <c r="K13" s="52">
        <f t="shared" si="6"/>
        <v>14.4</v>
      </c>
      <c r="L13" s="17">
        <f t="shared" si="3"/>
        <v>75.900000000000006</v>
      </c>
      <c r="M13" s="78">
        <f t="shared" si="4"/>
        <v>20</v>
      </c>
      <c r="N13" s="91">
        <f t="shared" si="5"/>
        <v>156.80000000000001</v>
      </c>
    </row>
    <row r="14" spans="1:20" ht="15" x14ac:dyDescent="0.25">
      <c r="A14" s="86" t="s">
        <v>18</v>
      </c>
      <c r="B14" s="159">
        <v>50.5</v>
      </c>
      <c r="C14" s="158">
        <v>15.7</v>
      </c>
      <c r="D14" s="160">
        <v>79</v>
      </c>
      <c r="E14" s="15">
        <v>16.8</v>
      </c>
      <c r="F14" s="8">
        <f t="shared" si="0"/>
        <v>162</v>
      </c>
      <c r="G14" s="11">
        <v>1.2</v>
      </c>
      <c r="H14" s="4"/>
      <c r="I14" s="15">
        <f t="shared" si="1"/>
        <v>1.2</v>
      </c>
      <c r="J14" s="16">
        <f t="shared" si="2"/>
        <v>50.5</v>
      </c>
      <c r="K14" s="52">
        <f t="shared" si="6"/>
        <v>15.7</v>
      </c>
      <c r="L14" s="17">
        <f t="shared" si="3"/>
        <v>80.2</v>
      </c>
      <c r="M14" s="78">
        <f t="shared" si="4"/>
        <v>16.8</v>
      </c>
      <c r="N14" s="91">
        <f t="shared" si="5"/>
        <v>163.20000000000002</v>
      </c>
    </row>
    <row r="15" spans="1:20" ht="15" x14ac:dyDescent="0.25">
      <c r="A15" s="86" t="s">
        <v>19</v>
      </c>
      <c r="B15" s="159">
        <v>82.2</v>
      </c>
      <c r="C15" s="158">
        <v>25.5</v>
      </c>
      <c r="D15" s="160">
        <v>124.9</v>
      </c>
      <c r="E15" s="15">
        <v>7</v>
      </c>
      <c r="F15" s="8">
        <f t="shared" si="0"/>
        <v>239.60000000000002</v>
      </c>
      <c r="G15" s="11">
        <v>2</v>
      </c>
      <c r="H15" s="4"/>
      <c r="I15" s="15">
        <f t="shared" si="1"/>
        <v>2</v>
      </c>
      <c r="J15" s="16">
        <f t="shared" si="2"/>
        <v>82.2</v>
      </c>
      <c r="K15" s="52">
        <f t="shared" si="6"/>
        <v>25.5</v>
      </c>
      <c r="L15" s="17">
        <f t="shared" si="3"/>
        <v>126.9</v>
      </c>
      <c r="M15" s="78">
        <f t="shared" si="4"/>
        <v>7</v>
      </c>
      <c r="N15" s="91">
        <f t="shared" si="5"/>
        <v>241.60000000000002</v>
      </c>
    </row>
    <row r="16" spans="1:20" ht="15" x14ac:dyDescent="0.25">
      <c r="A16" s="86" t="s">
        <v>20</v>
      </c>
      <c r="B16" s="159">
        <v>55</v>
      </c>
      <c r="C16" s="158">
        <v>17.100000000000001</v>
      </c>
      <c r="D16" s="160">
        <v>40</v>
      </c>
      <c r="E16" s="15">
        <v>4.2</v>
      </c>
      <c r="F16" s="8">
        <f t="shared" si="0"/>
        <v>116.3</v>
      </c>
      <c r="G16" s="11">
        <v>4</v>
      </c>
      <c r="H16" s="4"/>
      <c r="I16" s="15">
        <f t="shared" si="1"/>
        <v>4</v>
      </c>
      <c r="J16" s="16">
        <f t="shared" si="2"/>
        <v>55</v>
      </c>
      <c r="K16" s="52">
        <f t="shared" si="6"/>
        <v>17.100000000000001</v>
      </c>
      <c r="L16" s="17">
        <f t="shared" si="3"/>
        <v>44</v>
      </c>
      <c r="M16" s="78">
        <f t="shared" si="4"/>
        <v>4.2</v>
      </c>
      <c r="N16" s="91">
        <f t="shared" si="5"/>
        <v>120.3</v>
      </c>
    </row>
    <row r="17" spans="1:14" ht="27.75" customHeight="1" x14ac:dyDescent="0.2">
      <c r="A17" s="86" t="s">
        <v>21</v>
      </c>
      <c r="B17" s="159">
        <v>54.4</v>
      </c>
      <c r="C17" s="158">
        <v>16.8</v>
      </c>
      <c r="D17" s="161">
        <v>88.3</v>
      </c>
      <c r="E17" s="15">
        <v>11.8</v>
      </c>
      <c r="F17" s="8">
        <f t="shared" si="0"/>
        <v>171.3</v>
      </c>
      <c r="G17" s="11"/>
      <c r="H17" s="4"/>
      <c r="I17" s="15">
        <f t="shared" si="1"/>
        <v>0</v>
      </c>
      <c r="J17" s="64">
        <f t="shared" si="2"/>
        <v>54.4</v>
      </c>
      <c r="K17" s="152">
        <f t="shared" si="6"/>
        <v>16.8</v>
      </c>
      <c r="L17" s="153">
        <f t="shared" si="3"/>
        <v>88.3</v>
      </c>
      <c r="M17" s="154">
        <f t="shared" si="4"/>
        <v>11.8</v>
      </c>
      <c r="N17" s="155">
        <f t="shared" si="5"/>
        <v>171.3</v>
      </c>
    </row>
    <row r="18" spans="1:14" ht="15" x14ac:dyDescent="0.25">
      <c r="A18" s="86" t="s">
        <v>22</v>
      </c>
      <c r="B18" s="159">
        <v>121.7</v>
      </c>
      <c r="C18" s="158">
        <v>37.700000000000003</v>
      </c>
      <c r="D18" s="160">
        <v>179.6</v>
      </c>
      <c r="E18" s="15">
        <v>45</v>
      </c>
      <c r="F18" s="8">
        <f t="shared" si="0"/>
        <v>384</v>
      </c>
      <c r="G18" s="11"/>
      <c r="H18" s="4"/>
      <c r="I18" s="15">
        <f t="shared" si="1"/>
        <v>0</v>
      </c>
      <c r="J18" s="16">
        <f t="shared" si="2"/>
        <v>121.7</v>
      </c>
      <c r="K18" s="52">
        <f t="shared" si="6"/>
        <v>37.700000000000003</v>
      </c>
      <c r="L18" s="17">
        <f t="shared" si="3"/>
        <v>179.6</v>
      </c>
      <c r="M18" s="78">
        <f t="shared" si="4"/>
        <v>45</v>
      </c>
      <c r="N18" s="91">
        <f t="shared" si="5"/>
        <v>384</v>
      </c>
    </row>
    <row r="19" spans="1:14" ht="15" x14ac:dyDescent="0.25">
      <c r="A19" s="86" t="s">
        <v>23</v>
      </c>
      <c r="B19" s="159">
        <v>53</v>
      </c>
      <c r="C19" s="158">
        <v>16.5</v>
      </c>
      <c r="D19" s="23">
        <v>35.200000000000003</v>
      </c>
      <c r="E19" s="15">
        <v>10.199999999999999</v>
      </c>
      <c r="F19" s="8">
        <f t="shared" si="0"/>
        <v>114.9</v>
      </c>
      <c r="G19" s="11"/>
      <c r="H19" s="4"/>
      <c r="I19" s="15">
        <f t="shared" si="1"/>
        <v>0</v>
      </c>
      <c r="J19" s="16">
        <f t="shared" si="2"/>
        <v>53</v>
      </c>
      <c r="K19" s="52">
        <f t="shared" si="6"/>
        <v>16.5</v>
      </c>
      <c r="L19" s="17">
        <f t="shared" si="3"/>
        <v>35.200000000000003</v>
      </c>
      <c r="M19" s="78">
        <f t="shared" si="4"/>
        <v>10.199999999999999</v>
      </c>
      <c r="N19" s="91">
        <f t="shared" si="5"/>
        <v>114.9</v>
      </c>
    </row>
    <row r="20" spans="1:14" ht="15" x14ac:dyDescent="0.25">
      <c r="A20" s="132" t="s">
        <v>24</v>
      </c>
      <c r="B20" s="162">
        <v>64.400000000000006</v>
      </c>
      <c r="C20" s="163">
        <v>20</v>
      </c>
      <c r="D20" s="99">
        <v>126</v>
      </c>
      <c r="E20" s="98">
        <v>12.5</v>
      </c>
      <c r="F20" s="178">
        <f t="shared" si="0"/>
        <v>222.9</v>
      </c>
      <c r="G20" s="11"/>
      <c r="H20" s="4"/>
      <c r="I20" s="15">
        <f t="shared" si="1"/>
        <v>0</v>
      </c>
      <c r="J20" s="16">
        <f t="shared" si="2"/>
        <v>64.400000000000006</v>
      </c>
      <c r="K20" s="52">
        <f t="shared" si="6"/>
        <v>20</v>
      </c>
      <c r="L20" s="17">
        <f t="shared" si="3"/>
        <v>126</v>
      </c>
      <c r="M20" s="78">
        <f t="shared" si="4"/>
        <v>12.5</v>
      </c>
      <c r="N20" s="91">
        <f t="shared" si="5"/>
        <v>222.9</v>
      </c>
    </row>
    <row r="21" spans="1:14" ht="15" x14ac:dyDescent="0.25">
      <c r="A21" s="86" t="s">
        <v>25</v>
      </c>
      <c r="B21" s="159">
        <v>55.1</v>
      </c>
      <c r="C21" s="158">
        <v>17.100000000000001</v>
      </c>
      <c r="D21" s="23">
        <v>68.400000000000006</v>
      </c>
      <c r="E21" s="15">
        <v>72</v>
      </c>
      <c r="F21" s="8">
        <f t="shared" si="0"/>
        <v>212.60000000000002</v>
      </c>
      <c r="G21" s="11">
        <v>0.6</v>
      </c>
      <c r="H21" s="4"/>
      <c r="I21" s="15">
        <f t="shared" si="1"/>
        <v>0.6</v>
      </c>
      <c r="J21" s="16">
        <f t="shared" si="2"/>
        <v>55.1</v>
      </c>
      <c r="K21" s="52">
        <f t="shared" si="6"/>
        <v>17.100000000000001</v>
      </c>
      <c r="L21" s="17">
        <f t="shared" si="3"/>
        <v>69</v>
      </c>
      <c r="M21" s="78">
        <f t="shared" si="4"/>
        <v>72</v>
      </c>
      <c r="N21" s="91">
        <f t="shared" si="5"/>
        <v>213.2</v>
      </c>
    </row>
    <row r="22" spans="1:14" ht="15" x14ac:dyDescent="0.25">
      <c r="A22" s="86" t="s">
        <v>26</v>
      </c>
      <c r="B22" s="159">
        <v>50.9</v>
      </c>
      <c r="C22" s="158">
        <v>15.7</v>
      </c>
      <c r="D22" s="23">
        <v>68.400000000000006</v>
      </c>
      <c r="E22" s="15">
        <v>43.5</v>
      </c>
      <c r="F22" s="8">
        <f t="shared" si="0"/>
        <v>178.5</v>
      </c>
      <c r="G22" s="11">
        <v>3.6</v>
      </c>
      <c r="H22" s="4">
        <v>2</v>
      </c>
      <c r="I22" s="15">
        <f t="shared" si="1"/>
        <v>5.6</v>
      </c>
      <c r="J22" s="16">
        <f t="shared" si="2"/>
        <v>50.9</v>
      </c>
      <c r="K22" s="52">
        <f t="shared" si="6"/>
        <v>15.7</v>
      </c>
      <c r="L22" s="17">
        <f t="shared" si="3"/>
        <v>72</v>
      </c>
      <c r="M22" s="78">
        <f t="shared" si="4"/>
        <v>45.5</v>
      </c>
      <c r="N22" s="91">
        <f t="shared" si="5"/>
        <v>184.1</v>
      </c>
    </row>
    <row r="23" spans="1:14" ht="15" x14ac:dyDescent="0.25">
      <c r="A23" s="86" t="s">
        <v>42</v>
      </c>
      <c r="B23" s="159">
        <v>47.1</v>
      </c>
      <c r="C23" s="158">
        <v>14.6</v>
      </c>
      <c r="D23" s="23">
        <v>25.2</v>
      </c>
      <c r="E23" s="15">
        <v>16</v>
      </c>
      <c r="F23" s="8">
        <f t="shared" si="0"/>
        <v>102.9</v>
      </c>
      <c r="G23" s="11">
        <v>2.7</v>
      </c>
      <c r="H23" s="4"/>
      <c r="I23" s="15">
        <f t="shared" si="1"/>
        <v>2.7</v>
      </c>
      <c r="J23" s="16">
        <f t="shared" si="2"/>
        <v>47.1</v>
      </c>
      <c r="K23" s="52">
        <f t="shared" si="6"/>
        <v>14.6</v>
      </c>
      <c r="L23" s="17">
        <f t="shared" si="3"/>
        <v>27.9</v>
      </c>
      <c r="M23" s="78">
        <f t="shared" si="4"/>
        <v>16</v>
      </c>
      <c r="N23" s="91">
        <f t="shared" si="5"/>
        <v>105.6</v>
      </c>
    </row>
    <row r="24" spans="1:14" ht="15" x14ac:dyDescent="0.25">
      <c r="A24" s="86" t="s">
        <v>27</v>
      </c>
      <c r="B24" s="159">
        <v>49.5</v>
      </c>
      <c r="C24" s="158">
        <v>15.4</v>
      </c>
      <c r="D24" s="23">
        <v>72.7</v>
      </c>
      <c r="E24" s="98">
        <v>46</v>
      </c>
      <c r="F24" s="8">
        <f t="shared" si="0"/>
        <v>183.60000000000002</v>
      </c>
      <c r="G24" s="175">
        <v>0.7</v>
      </c>
      <c r="H24" s="4"/>
      <c r="I24" s="15">
        <f t="shared" si="1"/>
        <v>0.7</v>
      </c>
      <c r="J24" s="16">
        <f t="shared" si="2"/>
        <v>49.5</v>
      </c>
      <c r="K24" s="52">
        <f t="shared" si="6"/>
        <v>15.4</v>
      </c>
      <c r="L24" s="17">
        <f t="shared" si="3"/>
        <v>73.400000000000006</v>
      </c>
      <c r="M24" s="78">
        <f t="shared" si="4"/>
        <v>46</v>
      </c>
      <c r="N24" s="91">
        <f t="shared" si="5"/>
        <v>184.3</v>
      </c>
    </row>
    <row r="25" spans="1:14" ht="15" x14ac:dyDescent="0.25">
      <c r="A25" s="86" t="s">
        <v>28</v>
      </c>
      <c r="B25" s="159">
        <v>69.7</v>
      </c>
      <c r="C25" s="158">
        <v>21.4</v>
      </c>
      <c r="D25" s="160">
        <v>149.5</v>
      </c>
      <c r="E25" s="98">
        <v>14</v>
      </c>
      <c r="F25" s="8">
        <f t="shared" si="0"/>
        <v>254.6</v>
      </c>
      <c r="G25" s="175">
        <v>5.8</v>
      </c>
      <c r="H25" s="4"/>
      <c r="I25" s="15">
        <f t="shared" si="1"/>
        <v>5.8</v>
      </c>
      <c r="J25" s="16">
        <f t="shared" si="2"/>
        <v>69.7</v>
      </c>
      <c r="K25" s="52">
        <f t="shared" si="6"/>
        <v>21.4</v>
      </c>
      <c r="L25" s="17">
        <f t="shared" si="3"/>
        <v>155.30000000000001</v>
      </c>
      <c r="M25" s="78">
        <f t="shared" si="4"/>
        <v>14</v>
      </c>
      <c r="N25" s="91">
        <f t="shared" si="5"/>
        <v>260.39999999999998</v>
      </c>
    </row>
    <row r="26" spans="1:14" ht="15" x14ac:dyDescent="0.25">
      <c r="A26" s="86" t="s">
        <v>29</v>
      </c>
      <c r="B26" s="164">
        <v>53</v>
      </c>
      <c r="C26" s="158">
        <v>16.399999999999999</v>
      </c>
      <c r="D26" s="160">
        <v>57.8</v>
      </c>
      <c r="E26" s="98">
        <v>16.2</v>
      </c>
      <c r="F26" s="8">
        <f t="shared" si="0"/>
        <v>143.4</v>
      </c>
      <c r="G26" s="175"/>
      <c r="H26" s="4"/>
      <c r="I26" s="15">
        <f t="shared" si="1"/>
        <v>0</v>
      </c>
      <c r="J26" s="16">
        <f t="shared" si="2"/>
        <v>53</v>
      </c>
      <c r="K26" s="52">
        <f t="shared" si="6"/>
        <v>16.399999999999999</v>
      </c>
      <c r="L26" s="17">
        <f t="shared" si="3"/>
        <v>57.8</v>
      </c>
      <c r="M26" s="78">
        <f t="shared" si="4"/>
        <v>16.2</v>
      </c>
      <c r="N26" s="91">
        <f t="shared" si="5"/>
        <v>143.4</v>
      </c>
    </row>
    <row r="27" spans="1:14" ht="15" x14ac:dyDescent="0.25">
      <c r="A27" s="86" t="s">
        <v>30</v>
      </c>
      <c r="B27" s="159">
        <v>55.1</v>
      </c>
      <c r="C27" s="158">
        <v>17.100000000000001</v>
      </c>
      <c r="D27" s="160">
        <v>77.8</v>
      </c>
      <c r="E27" s="98">
        <v>7</v>
      </c>
      <c r="F27" s="8">
        <f t="shared" si="0"/>
        <v>157</v>
      </c>
      <c r="G27" s="175"/>
      <c r="H27" s="4"/>
      <c r="I27" s="15">
        <f t="shared" si="1"/>
        <v>0</v>
      </c>
      <c r="J27" s="16">
        <f t="shared" si="2"/>
        <v>55.1</v>
      </c>
      <c r="K27" s="52">
        <f t="shared" si="6"/>
        <v>17.100000000000001</v>
      </c>
      <c r="L27" s="17">
        <f t="shared" si="3"/>
        <v>77.8</v>
      </c>
      <c r="M27" s="78">
        <f t="shared" si="4"/>
        <v>7</v>
      </c>
      <c r="N27" s="91">
        <f t="shared" si="5"/>
        <v>157</v>
      </c>
    </row>
    <row r="28" spans="1:14" ht="15" x14ac:dyDescent="0.25">
      <c r="A28" s="86" t="s">
        <v>31</v>
      </c>
      <c r="B28" s="159">
        <v>58.7</v>
      </c>
      <c r="C28" s="158">
        <v>18.2</v>
      </c>
      <c r="D28" s="160">
        <v>62.1</v>
      </c>
      <c r="E28" s="98">
        <v>3</v>
      </c>
      <c r="F28" s="8">
        <f t="shared" si="0"/>
        <v>142</v>
      </c>
      <c r="G28" s="175"/>
      <c r="H28" s="4"/>
      <c r="I28" s="15">
        <f t="shared" si="1"/>
        <v>0</v>
      </c>
      <c r="J28" s="16">
        <f t="shared" si="2"/>
        <v>58.7</v>
      </c>
      <c r="K28" s="52">
        <f t="shared" si="6"/>
        <v>18.2</v>
      </c>
      <c r="L28" s="17">
        <f t="shared" si="3"/>
        <v>62.1</v>
      </c>
      <c r="M28" s="78">
        <f t="shared" si="4"/>
        <v>3</v>
      </c>
      <c r="N28" s="91">
        <f t="shared" si="5"/>
        <v>142</v>
      </c>
    </row>
    <row r="29" spans="1:14" ht="15" x14ac:dyDescent="0.25">
      <c r="A29" s="86" t="s">
        <v>32</v>
      </c>
      <c r="B29" s="159">
        <v>52.3</v>
      </c>
      <c r="C29" s="158">
        <v>16.2</v>
      </c>
      <c r="D29" s="160">
        <v>56.7</v>
      </c>
      <c r="E29" s="98">
        <v>43.2</v>
      </c>
      <c r="F29" s="8">
        <f t="shared" si="0"/>
        <v>168.4</v>
      </c>
      <c r="G29" s="176">
        <v>0.4</v>
      </c>
      <c r="H29" s="23"/>
      <c r="I29" s="15">
        <f t="shared" si="1"/>
        <v>0.4</v>
      </c>
      <c r="J29" s="16">
        <f t="shared" si="2"/>
        <v>52.3</v>
      </c>
      <c r="K29" s="52">
        <f t="shared" si="6"/>
        <v>16.2</v>
      </c>
      <c r="L29" s="17">
        <f t="shared" si="3"/>
        <v>57.1</v>
      </c>
      <c r="M29" s="78">
        <f t="shared" si="4"/>
        <v>43.2</v>
      </c>
      <c r="N29" s="91">
        <f t="shared" si="5"/>
        <v>168.8</v>
      </c>
    </row>
    <row r="30" spans="1:14" ht="15" x14ac:dyDescent="0.25">
      <c r="A30" s="86" t="s">
        <v>33</v>
      </c>
      <c r="B30" s="159">
        <v>57.6</v>
      </c>
      <c r="C30" s="158">
        <v>17.8</v>
      </c>
      <c r="D30" s="160">
        <v>73.3</v>
      </c>
      <c r="E30" s="98">
        <v>34</v>
      </c>
      <c r="F30" s="8">
        <f t="shared" si="0"/>
        <v>182.7</v>
      </c>
      <c r="G30" s="176"/>
      <c r="H30" s="23"/>
      <c r="I30" s="15">
        <f t="shared" si="1"/>
        <v>0</v>
      </c>
      <c r="J30" s="16">
        <f t="shared" si="2"/>
        <v>57.6</v>
      </c>
      <c r="K30" s="52">
        <f t="shared" si="6"/>
        <v>17.8</v>
      </c>
      <c r="L30" s="17">
        <f t="shared" si="3"/>
        <v>73.3</v>
      </c>
      <c r="M30" s="78">
        <f t="shared" si="4"/>
        <v>34</v>
      </c>
      <c r="N30" s="91">
        <f t="shared" si="5"/>
        <v>182.7</v>
      </c>
    </row>
    <row r="31" spans="1:14" ht="15" x14ac:dyDescent="0.25">
      <c r="A31" s="86" t="s">
        <v>34</v>
      </c>
      <c r="B31" s="159">
        <v>67.099999999999994</v>
      </c>
      <c r="C31" s="158">
        <v>20.8</v>
      </c>
      <c r="D31" s="23">
        <v>66.5</v>
      </c>
      <c r="E31" s="98">
        <v>53.3</v>
      </c>
      <c r="F31" s="8">
        <f t="shared" si="0"/>
        <v>207.7</v>
      </c>
      <c r="G31" s="176">
        <v>2.7</v>
      </c>
      <c r="H31" s="23"/>
      <c r="I31" s="15">
        <f t="shared" si="1"/>
        <v>2.7</v>
      </c>
      <c r="J31" s="16">
        <f t="shared" si="2"/>
        <v>67.099999999999994</v>
      </c>
      <c r="K31" s="52">
        <f t="shared" si="6"/>
        <v>20.8</v>
      </c>
      <c r="L31" s="17">
        <f t="shared" si="3"/>
        <v>69.2</v>
      </c>
      <c r="M31" s="78">
        <f t="shared" si="4"/>
        <v>53.3</v>
      </c>
      <c r="N31" s="91">
        <f t="shared" si="5"/>
        <v>210.39999999999998</v>
      </c>
    </row>
    <row r="32" spans="1:14" ht="30" x14ac:dyDescent="0.2">
      <c r="A32" s="86" t="s">
        <v>35</v>
      </c>
      <c r="B32" s="159">
        <v>60.5</v>
      </c>
      <c r="C32" s="158">
        <v>18.8</v>
      </c>
      <c r="D32" s="186">
        <v>75.099999999999994</v>
      </c>
      <c r="E32" s="98">
        <v>9</v>
      </c>
      <c r="F32" s="8">
        <f t="shared" si="0"/>
        <v>163.39999999999998</v>
      </c>
      <c r="G32" s="187"/>
      <c r="H32" s="186"/>
      <c r="I32" s="15">
        <f t="shared" si="1"/>
        <v>0</v>
      </c>
      <c r="J32" s="64">
        <f t="shared" si="2"/>
        <v>60.5</v>
      </c>
      <c r="K32" s="152">
        <f t="shared" si="6"/>
        <v>18.8</v>
      </c>
      <c r="L32" s="153">
        <f t="shared" si="3"/>
        <v>75.099999999999994</v>
      </c>
      <c r="M32" s="154">
        <f t="shared" si="4"/>
        <v>9</v>
      </c>
      <c r="N32" s="155">
        <f t="shared" si="5"/>
        <v>163.39999999999998</v>
      </c>
    </row>
    <row r="33" spans="1:23" ht="15" x14ac:dyDescent="0.25">
      <c r="A33" s="86" t="s">
        <v>36</v>
      </c>
      <c r="B33" s="159">
        <v>57.5</v>
      </c>
      <c r="C33" s="158">
        <v>17.8</v>
      </c>
      <c r="D33" s="23">
        <v>66.3</v>
      </c>
      <c r="E33" s="98">
        <v>53.5</v>
      </c>
      <c r="F33" s="8">
        <f t="shared" si="0"/>
        <v>195.1</v>
      </c>
      <c r="G33" s="176"/>
      <c r="H33" s="23"/>
      <c r="I33" s="15">
        <f t="shared" si="1"/>
        <v>0</v>
      </c>
      <c r="J33" s="16">
        <f t="shared" si="2"/>
        <v>57.5</v>
      </c>
      <c r="K33" s="52">
        <f t="shared" si="6"/>
        <v>17.8</v>
      </c>
      <c r="L33" s="17">
        <f t="shared" si="3"/>
        <v>66.3</v>
      </c>
      <c r="M33" s="78">
        <f t="shared" si="4"/>
        <v>53.5</v>
      </c>
      <c r="N33" s="91">
        <f t="shared" si="5"/>
        <v>195.1</v>
      </c>
    </row>
    <row r="34" spans="1:23" ht="15.75" thickBot="1" x14ac:dyDescent="0.3">
      <c r="A34" s="87" t="s">
        <v>37</v>
      </c>
      <c r="B34" s="165">
        <v>72</v>
      </c>
      <c r="C34" s="158">
        <v>22.3</v>
      </c>
      <c r="D34" s="24">
        <v>69.5</v>
      </c>
      <c r="E34" s="100">
        <v>10.5</v>
      </c>
      <c r="F34" s="8">
        <f t="shared" si="0"/>
        <v>174.3</v>
      </c>
      <c r="G34" s="177">
        <v>6</v>
      </c>
      <c r="H34" s="24"/>
      <c r="I34" s="19">
        <f t="shared" si="1"/>
        <v>6</v>
      </c>
      <c r="J34" s="16">
        <f t="shared" si="2"/>
        <v>72</v>
      </c>
      <c r="K34" s="52">
        <f t="shared" si="6"/>
        <v>22.3</v>
      </c>
      <c r="L34" s="58">
        <f t="shared" si="3"/>
        <v>75.5</v>
      </c>
      <c r="M34" s="78">
        <f t="shared" si="4"/>
        <v>10.5</v>
      </c>
      <c r="N34" s="91">
        <f t="shared" si="5"/>
        <v>180.3</v>
      </c>
    </row>
    <row r="35" spans="1:23" ht="15.75" thickBot="1" x14ac:dyDescent="0.3">
      <c r="A35" s="26" t="s">
        <v>3</v>
      </c>
      <c r="B35" s="166">
        <f>SUM(B10:B34)</f>
        <v>1495.3999999999999</v>
      </c>
      <c r="C35" s="167">
        <f>SUM(C10:C34)</f>
        <v>463.3</v>
      </c>
      <c r="D35" s="167">
        <f>SUM(D10:D34)</f>
        <v>1951.5</v>
      </c>
      <c r="E35" s="167">
        <f>SUM(E10:E34)</f>
        <v>595.09999999999991</v>
      </c>
      <c r="F35" s="179">
        <f t="shared" si="0"/>
        <v>4505.2999999999993</v>
      </c>
      <c r="G35" s="93">
        <f>SUM(G10:G34)</f>
        <v>30.4</v>
      </c>
      <c r="H35" s="20">
        <f>SUM(H10:H34)</f>
        <v>2</v>
      </c>
      <c r="I35" s="168">
        <f>SUM(I10:I34)</f>
        <v>32.4</v>
      </c>
      <c r="J35" s="93">
        <f t="shared" si="2"/>
        <v>1495.3999999999999</v>
      </c>
      <c r="K35" s="20">
        <f>C35</f>
        <v>463.3</v>
      </c>
      <c r="L35" s="151">
        <f t="shared" si="3"/>
        <v>1981.9</v>
      </c>
      <c r="M35" s="89">
        <f>SUM(M10:M34)</f>
        <v>597.09999999999991</v>
      </c>
      <c r="N35" s="90">
        <f>SUM(N10:N34)</f>
        <v>4537.7000000000007</v>
      </c>
    </row>
    <row r="37" spans="1:23" ht="15.75" x14ac:dyDescent="0.25">
      <c r="D37" s="28" t="s">
        <v>46</v>
      </c>
    </row>
    <row r="39" spans="1:23" ht="15.75" x14ac:dyDescent="0.25">
      <c r="A39" s="28"/>
      <c r="B39" s="28"/>
      <c r="C39" s="28"/>
      <c r="D39" s="28"/>
      <c r="E39" s="28"/>
      <c r="F39" s="28"/>
      <c r="G39" s="28"/>
      <c r="I39" s="29"/>
      <c r="J39" s="29"/>
      <c r="K39" s="29"/>
      <c r="L39" s="29"/>
    </row>
    <row r="42" spans="1:23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S42" s="2"/>
      <c r="T42" s="2"/>
      <c r="U42" s="2"/>
      <c r="V42" s="1"/>
      <c r="W42" s="1"/>
    </row>
  </sheetData>
  <mergeCells count="18">
    <mergeCell ref="N8:N9"/>
    <mergeCell ref="G8:G9"/>
    <mergeCell ref="H8:H9"/>
    <mergeCell ref="I8:I9"/>
    <mergeCell ref="J8:J9"/>
    <mergeCell ref="K8:K9"/>
    <mergeCell ref="A5:N5"/>
    <mergeCell ref="A7:A9"/>
    <mergeCell ref="B7:F7"/>
    <mergeCell ref="G7:I7"/>
    <mergeCell ref="J7:N7"/>
    <mergeCell ref="B8:B9"/>
    <mergeCell ref="C8:C9"/>
    <mergeCell ref="D8:D9"/>
    <mergeCell ref="E8:E9"/>
    <mergeCell ref="F8:F9"/>
    <mergeCell ref="L8:L9"/>
    <mergeCell ref="M8:M9"/>
  </mergeCells>
  <phoneticPr fontId="15" type="noConversion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 priedas</vt:lpstr>
      <vt:lpstr>2.1 priedas</vt:lpstr>
      <vt:lpstr>2.2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2017-02-23T13:51:36Z</cp:lastPrinted>
  <dcterms:created xsi:type="dcterms:W3CDTF">2007-01-22T14:34:42Z</dcterms:created>
  <dcterms:modified xsi:type="dcterms:W3CDTF">2018-11-21T07:05:23Z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174e8fb8-5eaa-4977-838d-fd03ac59fbe6</vt:lpwstr>
  </property>
</Properties>
</file>